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228"/>
  <workbookPr filterPrivacy="1"/>
  <xr:revisionPtr revIDLastSave="0" documentId="10_ncr:8100000_{8CE530B9-9A35-4307-A69A-A30E1A6CB099}" xr6:coauthVersionLast="34" xr6:coauthVersionMax="34" xr10:uidLastSave="{00000000-0000-0000-0000-000000000000}"/>
  <bookViews>
    <workbookView xWindow="0" yWindow="0" windowWidth="22260" windowHeight="11985" firstSheet="5" activeTab="11" xr2:uid="{00000000-000D-0000-FFFF-FFFF00000000}"/>
  </bookViews>
  <sheets>
    <sheet name="Version" sheetId="13" r:id="rId1"/>
    <sheet name="LoadRequirements" sheetId="1" r:id="rId2"/>
    <sheet name="SuperJXOriginalDesign" sheetId="2" r:id="rId3"/>
    <sheet name="PowerConverters" sheetId="3" r:id="rId4"/>
    <sheet name="EarthLeakage" sheetId="12" r:id="rId5"/>
    <sheet name="DCFilterPerformance" sheetId="5" r:id="rId6"/>
    <sheet name="MainsInput&amp;LoadCharacteristics" sheetId="6" r:id="rId7"/>
    <sheet name="FuseSimulationResults" sheetId="10" r:id="rId8"/>
    <sheet name="FuseCurves-TD" sheetId="7" r:id="rId9"/>
    <sheet name="PCBPowerTraces" sheetId="8" r:id="rId10"/>
    <sheet name="MainsInputSimulation" sheetId="9" r:id="rId11"/>
    <sheet name="TestResults" sheetId="11" r:id="rId1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8" i="11" l="1"/>
  <c r="E28" i="11"/>
  <c r="E31" i="11"/>
  <c r="F31" i="11"/>
  <c r="E55" i="11"/>
  <c r="F55" i="11"/>
  <c r="F57" i="11"/>
  <c r="E57" i="11"/>
  <c r="E37" i="11"/>
  <c r="F37" i="11"/>
  <c r="F39" i="11"/>
  <c r="E39" i="11"/>
  <c r="E61" i="11"/>
  <c r="E63" i="11"/>
  <c r="F63" i="11"/>
  <c r="F59" i="11"/>
  <c r="E59" i="11"/>
  <c r="F33" i="11"/>
  <c r="E33" i="11"/>
  <c r="F32" i="11"/>
  <c r="E32" i="11"/>
  <c r="F34" i="11"/>
  <c r="E34" i="11"/>
  <c r="E58" i="11" l="1"/>
  <c r="F58" i="11"/>
  <c r="F54" i="11"/>
  <c r="E54" i="11"/>
  <c r="E56" i="11"/>
  <c r="F56" i="11"/>
  <c r="F27" i="11"/>
  <c r="F30" i="11"/>
  <c r="E29" i="11"/>
  <c r="F29" i="11"/>
  <c r="E30" i="11"/>
  <c r="E27" i="11"/>
  <c r="F26" i="11"/>
  <c r="E26" i="11"/>
  <c r="F9" i="11"/>
  <c r="E9" i="11"/>
  <c r="E8" i="11"/>
  <c r="F8" i="11"/>
  <c r="F7" i="11"/>
  <c r="E7" i="11"/>
  <c r="B139" i="11" l="1"/>
  <c r="H51" i="11"/>
  <c r="H23" i="11"/>
  <c r="G64" i="11"/>
  <c r="G65" i="11"/>
  <c r="G66" i="11"/>
  <c r="G67" i="11"/>
  <c r="G68" i="11"/>
  <c r="G69" i="11"/>
  <c r="G70" i="11"/>
  <c r="G71" i="11"/>
  <c r="G72" i="11"/>
  <c r="G40" i="11"/>
  <c r="G41" i="11"/>
  <c r="G42" i="11"/>
  <c r="G43" i="11"/>
  <c r="G45" i="11"/>
  <c r="G46" i="11"/>
  <c r="G47" i="11"/>
  <c r="G48" i="11"/>
  <c r="G12" i="11"/>
  <c r="G13" i="11"/>
  <c r="G14" i="11"/>
  <c r="G15" i="11"/>
  <c r="G16" i="11"/>
  <c r="G17" i="11"/>
  <c r="G18" i="11"/>
  <c r="G19" i="11"/>
  <c r="G20" i="11"/>
  <c r="F53" i="11"/>
  <c r="E53" i="11"/>
  <c r="G53" i="11" s="1"/>
  <c r="F25" i="11"/>
  <c r="E25" i="11"/>
  <c r="G25" i="11" s="1"/>
  <c r="E6" i="11"/>
  <c r="G6" i="11" s="1"/>
  <c r="F104" i="11" l="1"/>
  <c r="F100" i="11"/>
  <c r="D19" i="12"/>
  <c r="D16" i="12"/>
  <c r="D17" i="12"/>
  <c r="D18" i="12"/>
  <c r="D15" i="12"/>
  <c r="C19" i="12" l="1"/>
  <c r="F99" i="11" l="1"/>
  <c r="C51" i="11"/>
  <c r="C23" i="11"/>
  <c r="C44" i="11"/>
  <c r="G44" i="11" s="1"/>
  <c r="G34" i="11"/>
  <c r="G31" i="11"/>
  <c r="G28" i="11"/>
  <c r="G57" i="11"/>
  <c r="E95" i="11"/>
  <c r="F95" i="11" s="1"/>
  <c r="E94" i="11"/>
  <c r="F94" i="11" s="1"/>
  <c r="E93" i="11"/>
  <c r="F93" i="11" s="1"/>
  <c r="E92" i="11"/>
  <c r="F92" i="11" s="1"/>
  <c r="E90" i="11"/>
  <c r="F90" i="11" s="1"/>
  <c r="E89" i="11"/>
  <c r="F89" i="11" s="1"/>
  <c r="E88" i="11"/>
  <c r="F88" i="11" s="1"/>
  <c r="E87" i="11"/>
  <c r="F87" i="11" s="1"/>
  <c r="E82" i="11"/>
  <c r="F82" i="11" s="1"/>
  <c r="E81" i="11"/>
  <c r="F81" i="11" s="1"/>
  <c r="E80" i="11"/>
  <c r="F80" i="11" s="1"/>
  <c r="E79" i="11"/>
  <c r="F79" i="11" s="1"/>
  <c r="E78" i="11"/>
  <c r="F78" i="11" s="1"/>
  <c r="G39" i="11" l="1"/>
  <c r="G55" i="11"/>
  <c r="G37" i="11"/>
  <c r="F35" i="11"/>
  <c r="E35" i="11"/>
  <c r="G32" i="11"/>
  <c r="G29" i="11" l="1"/>
  <c r="G26" i="11"/>
  <c r="G35" i="11"/>
  <c r="G61" i="11"/>
  <c r="E38" i="11"/>
  <c r="F36" i="11"/>
  <c r="F11" i="11"/>
  <c r="E11" i="11"/>
  <c r="F10" i="11"/>
  <c r="E10" i="11"/>
  <c r="G9" i="11" l="1"/>
  <c r="G30" i="11"/>
  <c r="G10" i="11"/>
  <c r="G63" i="11"/>
  <c r="G8" i="11"/>
  <c r="G7" i="11"/>
  <c r="G11" i="11"/>
  <c r="G27" i="11"/>
  <c r="G59" i="11"/>
  <c r="E60" i="11"/>
  <c r="F62" i="11"/>
  <c r="G54" i="11"/>
  <c r="G56" i="11"/>
  <c r="F60" i="11"/>
  <c r="F38" i="11"/>
  <c r="G38" i="11" s="1"/>
  <c r="G33" i="11"/>
  <c r="E36" i="11"/>
  <c r="G36" i="11" s="1"/>
  <c r="E62" i="11"/>
  <c r="G62" i="11" s="1"/>
  <c r="G60" i="11" l="1"/>
  <c r="G58" i="11"/>
  <c r="B21" i="10"/>
  <c r="B19" i="10"/>
  <c r="I7" i="6"/>
  <c r="F7" i="6"/>
  <c r="G7" i="6" s="1"/>
  <c r="I6" i="6"/>
  <c r="F6" i="6"/>
  <c r="H6" i="6" s="1"/>
  <c r="J6" i="6" s="1"/>
  <c r="I5" i="6"/>
  <c r="F5" i="6"/>
  <c r="H5" i="6" s="1"/>
  <c r="J5" i="6" s="1"/>
  <c r="I4" i="6"/>
  <c r="F4" i="6"/>
  <c r="G4" i="6" s="1"/>
  <c r="M7" i="6" l="1"/>
  <c r="K7" i="6"/>
  <c r="M6" i="6"/>
  <c r="K6" i="6"/>
  <c r="M5" i="6"/>
  <c r="K5" i="6"/>
  <c r="M4" i="6"/>
  <c r="K4" i="6"/>
  <c r="N8" i="6"/>
  <c r="I8" i="6"/>
  <c r="H4" i="6"/>
  <c r="J4" i="6" s="1"/>
  <c r="L6" i="6"/>
  <c r="L5" i="6"/>
  <c r="G6" i="6"/>
  <c r="H7" i="6"/>
  <c r="J7" i="6" s="1"/>
  <c r="G5" i="6"/>
  <c r="K8" i="6" l="1"/>
  <c r="M8" i="6"/>
  <c r="H8" i="6"/>
  <c r="L4" i="6"/>
  <c r="L7" i="6"/>
  <c r="L8" i="6" l="1"/>
  <c r="B7" i="10"/>
  <c r="B8" i="10" s="1"/>
  <c r="B6" i="10"/>
  <c r="B5" i="10"/>
  <c r="J8" i="6"/>
  <c r="F6" i="1"/>
  <c r="D7" i="1"/>
  <c r="B7" i="1"/>
  <c r="D17" i="1"/>
  <c r="D16" i="1"/>
  <c r="D14" i="1"/>
  <c r="D6" i="1" l="1"/>
  <c r="J7" i="1"/>
  <c r="K7" i="1" s="1"/>
  <c r="E6" i="1"/>
  <c r="B6" i="1"/>
  <c r="C6" i="1" s="1"/>
  <c r="C7" i="1"/>
  <c r="E7" i="1"/>
  <c r="F5" i="1"/>
  <c r="F4" i="1"/>
  <c r="H4" i="1" s="1"/>
  <c r="I4" i="1" s="1"/>
  <c r="D5" i="1"/>
  <c r="J5" i="1" s="1"/>
  <c r="K5" i="1" s="1"/>
  <c r="D4" i="1"/>
  <c r="F7" i="1"/>
  <c r="H5" i="1" l="1"/>
  <c r="I5" i="1" s="1"/>
  <c r="J4" i="1"/>
  <c r="K4" i="1" s="1"/>
  <c r="J6" i="1"/>
  <c r="K6" i="1" s="1"/>
  <c r="H6" i="1"/>
  <c r="I6" i="1" s="1"/>
  <c r="H7" i="1"/>
  <c r="I7" i="1" s="1"/>
</calcChain>
</file>

<file path=xl/sharedStrings.xml><?xml version="1.0" encoding="utf-8"?>
<sst xmlns="http://schemas.openxmlformats.org/spreadsheetml/2006/main" count="529" uniqueCount="253">
  <si>
    <t>Worst Case
mA</t>
  </si>
  <si>
    <t>Standard &amp; PG800
mA</t>
  </si>
  <si>
    <t>PWM
mA</t>
  </si>
  <si>
    <t>Enhanced VFD
mA</t>
  </si>
  <si>
    <t>Enhanced VFD &amp; PWM
mA</t>
  </si>
  <si>
    <t>AC/DC Max @50C
mA</t>
  </si>
  <si>
    <t>Mains Voltage</t>
  </si>
  <si>
    <t>Country</t>
  </si>
  <si>
    <t>Japan</t>
  </si>
  <si>
    <t>USA</t>
  </si>
  <si>
    <t>Europe</t>
  </si>
  <si>
    <t>UK</t>
  </si>
  <si>
    <t>Mains Inlet</t>
  </si>
  <si>
    <t>2 pin</t>
  </si>
  <si>
    <t>3 pin IEC</t>
  </si>
  <si>
    <t>Earthed</t>
  </si>
  <si>
    <t>No</t>
  </si>
  <si>
    <t>Yes</t>
  </si>
  <si>
    <t>Insulation Class II Mark</t>
  </si>
  <si>
    <t>PG800</t>
  </si>
  <si>
    <t>Roland VFD</t>
  </si>
  <si>
    <t>NMOS ROMS</t>
  </si>
  <si>
    <t>CMOS ROMS</t>
  </si>
  <si>
    <t>NMOS Voice CPUs</t>
  </si>
  <si>
    <t>CMOS Voice CPUs</t>
  </si>
  <si>
    <t>Power Rail
V</t>
  </si>
  <si>
    <t>Max Rating
%</t>
  </si>
  <si>
    <t>Min Rating
%</t>
  </si>
  <si>
    <t>Best Case
mA</t>
  </si>
  <si>
    <t>Power On Peak Current
mA</t>
  </si>
  <si>
    <t>mA</t>
  </si>
  <si>
    <t>Electronic Feature</t>
  </si>
  <si>
    <t>Enhanced Graphic VFD</t>
  </si>
  <si>
    <t>Enhanced Graphic VFD option assumes CMOS Voice ROMs</t>
  </si>
  <si>
    <t>PSU1</t>
  </si>
  <si>
    <t>Mean Well</t>
  </si>
  <si>
    <t>IRM-10-5</t>
  </si>
  <si>
    <t>2815498</t>
  </si>
  <si>
    <t>IRM-15-15</t>
  </si>
  <si>
    <t xml:space="preserve"> 2815500</t>
  </si>
  <si>
    <t>PSU4</t>
  </si>
  <si>
    <t>Vigortronix</t>
  </si>
  <si>
    <t>VTX-214-005-109</t>
  </si>
  <si>
    <t>2401043</t>
  </si>
  <si>
    <t>PSU2 &amp; 3</t>
  </si>
  <si>
    <t>Farnell</t>
  </si>
  <si>
    <t>10W</t>
  </si>
  <si>
    <t>15W</t>
  </si>
  <si>
    <t>5W</t>
  </si>
  <si>
    <t>Part Number</t>
  </si>
  <si>
    <t>Manufacturer</t>
  </si>
  <si>
    <t>Wattage</t>
  </si>
  <si>
    <t>Reference</t>
  </si>
  <si>
    <t>Voltage</t>
  </si>
  <si>
    <t>Steady State Ripple
mV</t>
  </si>
  <si>
    <t>10% Load Variation Ripple
mV</t>
  </si>
  <si>
    <t>Voltage Drop
mV</t>
  </si>
  <si>
    <t>Max Power
W</t>
  </si>
  <si>
    <t>Current
A</t>
  </si>
  <si>
    <t>Power
W</t>
  </si>
  <si>
    <t>Derated Power
%</t>
  </si>
  <si>
    <t>Current at max power &amp; min voltage</t>
  </si>
  <si>
    <t>Amps</t>
  </si>
  <si>
    <t>General guideline to avoid nusance trips</t>
  </si>
  <si>
    <t>Fuse Type</t>
  </si>
  <si>
    <t>Time Delay</t>
  </si>
  <si>
    <t>Approval standard</t>
  </si>
  <si>
    <t>Required PCB handling capacity @150%</t>
  </si>
  <si>
    <t>Max fuse rating for 3mm PCB traces</t>
  </si>
  <si>
    <t>Amps 150uS</t>
  </si>
  <si>
    <t>PSU2</t>
  </si>
  <si>
    <t>PSU3</t>
  </si>
  <si>
    <t>Comment</t>
  </si>
  <si>
    <t>Continuous rating for CM choke</t>
  </si>
  <si>
    <t>Filter network peak inrush current</t>
  </si>
  <si>
    <t>Simulation Results 325VDC - 230VAC RMS Turn on @ 90 deg phase</t>
  </si>
  <si>
    <t>Continuous PCB capacity 3mm 1oz</t>
  </si>
  <si>
    <t>Temperature rerating @50 degC</t>
  </si>
  <si>
    <t xml:space="preserve"> 0215002.MXP</t>
  </si>
  <si>
    <t>Littelfuse</t>
  </si>
  <si>
    <t>Average inrush current over 280uS</t>
  </si>
  <si>
    <t>Amps 80uS</t>
  </si>
  <si>
    <t>IEC60127-2</t>
  </si>
  <si>
    <t>Continuous rating, peak unknown</t>
  </si>
  <si>
    <t>Fuse Characteristics &amp; Results</t>
  </si>
  <si>
    <t>PCB &amp; Critical Components</t>
  </si>
  <si>
    <t>Fuse chosen meets requirements for inrush that is in practice much smaller in energy.</t>
  </si>
  <si>
    <t>Continuous rating with 10 degree rise</t>
  </si>
  <si>
    <t>Conclusions</t>
  </si>
  <si>
    <t>At mains input 85V 50/60Hz</t>
  </si>
  <si>
    <t>Max ambient temperature</t>
  </si>
  <si>
    <t>Pessimistic evaluation</t>
  </si>
  <si>
    <t>Lower than 140 Amps due to resistance</t>
  </si>
  <si>
    <t>JX10 &amp; MKS70 Current Consumption vs Upgrades</t>
  </si>
  <si>
    <t>Original SuperJX Power Design: Mains Inlet &amp; Earthing vs Country</t>
  </si>
  <si>
    <t>Power Converters Chosen</t>
  </si>
  <si>
    <t>DC Output Filter Performance</t>
  </si>
  <si>
    <t>Mains Input &amp; Load Characteristics</t>
  </si>
  <si>
    <t>Fuse Simulation Results</t>
  </si>
  <si>
    <t>Totals</t>
  </si>
  <si>
    <t>Mains Current @85V
A</t>
  </si>
  <si>
    <t>Max Mains Current @85V
A</t>
  </si>
  <si>
    <t>Max Mains Power
W</t>
  </si>
  <si>
    <t>Nom Mains Power
W</t>
  </si>
  <si>
    <t>Nom Eff
%</t>
  </si>
  <si>
    <t>Out
V</t>
  </si>
  <si>
    <t>ACDC
Conv</t>
  </si>
  <si>
    <t>Inrush 230VAC 0R Source Resis
A</t>
  </si>
  <si>
    <t>Tests Performed</t>
  </si>
  <si>
    <t>Equipment</t>
  </si>
  <si>
    <t>Measure</t>
  </si>
  <si>
    <t>Units</t>
  </si>
  <si>
    <t>Max</t>
  </si>
  <si>
    <t>Min</t>
  </si>
  <si>
    <t>Result</t>
  </si>
  <si>
    <t>Mains Input</t>
  </si>
  <si>
    <t>DMM (RMS)</t>
  </si>
  <si>
    <t>V AC</t>
  </si>
  <si>
    <t>N/A</t>
  </si>
  <si>
    <t>Mains Input Current</t>
  </si>
  <si>
    <t>mA AC</t>
  </si>
  <si>
    <t>CN1 DC Power +15V Regulation</t>
  </si>
  <si>
    <t>DMM</t>
  </si>
  <si>
    <t>V</t>
  </si>
  <si>
    <t>CN1 DC Power -15V Regulation</t>
  </si>
  <si>
    <t>CN1 DC Power +5V Regulation</t>
  </si>
  <si>
    <t>CN1 DC Power +9V Regulation</t>
  </si>
  <si>
    <t>Display Power Regulation</t>
  </si>
  <si>
    <t>CN1 DC Power +15V AC PkPk Ripple</t>
  </si>
  <si>
    <t>Scope</t>
  </si>
  <si>
    <t>mV</t>
  </si>
  <si>
    <t>PSU1 Out AC PkPk Ripple</t>
  </si>
  <si>
    <t>CN1 DC Power -15V AC PkPk Ripple</t>
  </si>
  <si>
    <t>PSU2 Out AC PkPk Ripple</t>
  </si>
  <si>
    <t>CN1 DC Power +5V AC PkPk Ripple</t>
  </si>
  <si>
    <t>PSU3 Out AC PkPk Ripple</t>
  </si>
  <si>
    <t>CN1 DC Power +9V AC  PkPk Ripple</t>
  </si>
  <si>
    <t>PSU4 Out AC PkPk Ripple</t>
  </si>
  <si>
    <t>Display Power +9V AC PkPk Ripple</t>
  </si>
  <si>
    <t>L2 Voltage Drop</t>
  </si>
  <si>
    <t>L3 Voltage Drop</t>
  </si>
  <si>
    <t>L4 Voltage Drop</t>
  </si>
  <si>
    <t>Powering Instrument (VFD/PWM)</t>
  </si>
  <si>
    <t>L5 Voltage Drop (PG800 Connected)</t>
  </si>
  <si>
    <t>L6 Voltage Drop</t>
  </si>
  <si>
    <t>Note that ripple is primarily result of instrument conducted emissions &amp; loading.</t>
  </si>
  <si>
    <t xml:space="preserve"> 0215001.MXP</t>
  </si>
  <si>
    <t>Maximum fuse rating chosen</t>
  </si>
  <si>
    <t>Minimum fuse rating chosen</t>
  </si>
  <si>
    <t>Max nominal rating @200%</t>
  </si>
  <si>
    <t>Nearest preferred value from 150%</t>
  </si>
  <si>
    <t>Nearest preferred value from 200%</t>
  </si>
  <si>
    <t>Min nominal rating @150%</t>
  </si>
  <si>
    <t>Part Number - 1A</t>
  </si>
  <si>
    <t>Part Number - 2A</t>
  </si>
  <si>
    <t>Handling rating at 250us extrapolated - 1Amp</t>
  </si>
  <si>
    <t>Handling rating at 250us extrapolated - 2Amp</t>
  </si>
  <si>
    <t>Peak inrush current ACDC &amp; Filter</t>
  </si>
  <si>
    <t>T1A or T2A IEC fuse is rated low enough to protect PCB &amp; choke from overload. T2A avoids potential nuisance trips.</t>
  </si>
  <si>
    <t>0, 1</t>
  </si>
  <si>
    <t>180Hz (power save mode)</t>
  </si>
  <si>
    <t>PSU1 Out DC Power +15V regulation</t>
  </si>
  <si>
    <t>PSU2 Out DC Power -15V regulation</t>
  </si>
  <si>
    <t>PSU3 Out DC Power +5V regulation</t>
  </si>
  <si>
    <t>Resistive Loaded 15V@1A/5V@1.7A/9V@5.4A</t>
  </si>
  <si>
    <t>PSU4 Out DC Power +9V regulation</t>
  </si>
  <si>
    <t>max 224, min 144</t>
  </si>
  <si>
    <t>center</t>
  </si>
  <si>
    <t>5, 6</t>
  </si>
  <si>
    <t>12, 13</t>
  </si>
  <si>
    <t>DC terminals</t>
  </si>
  <si>
    <t>Rise</t>
  </si>
  <si>
    <t>Position</t>
  </si>
  <si>
    <t>Temp
deg C</t>
  </si>
  <si>
    <t>Temperature measurement</t>
  </si>
  <si>
    <t>Ambient</t>
  </si>
  <si>
    <t>Max Mains Current @240V
A</t>
  </si>
  <si>
    <t>Nom
Mains Current @240V
A</t>
  </si>
  <si>
    <t>Expected Result by Analysis</t>
  </si>
  <si>
    <t>Actual Performance</t>
  </si>
  <si>
    <t>Powering Instrument (VFD/PWM) - Open Casing</t>
  </si>
  <si>
    <t>After 1 Hour</t>
  </si>
  <si>
    <t>After 2 Hours</t>
  </si>
  <si>
    <t>Time Hr</t>
  </si>
  <si>
    <t>Projected @ 35 degC</t>
  </si>
  <si>
    <t>Rise
deg C</t>
  </si>
  <si>
    <t>Powering Instrument (VFD/PWM) - Closed Casing</t>
  </si>
  <si>
    <t>Requirements</t>
  </si>
  <si>
    <t>PAT Leakage Limits</t>
  </si>
  <si>
    <t>Class</t>
  </si>
  <si>
    <t>Appliance Type</t>
  </si>
  <si>
    <t>Max Leakage
mA</t>
  </si>
  <si>
    <t>Handheld &amp; Portable</t>
  </si>
  <si>
    <t>IT, Moveable, Stationary, Fixed</t>
  </si>
  <si>
    <t>Heating</t>
  </si>
  <si>
    <t>0.75/KW</t>
  </si>
  <si>
    <t>All</t>
  </si>
  <si>
    <t>Theoretical Analysis</t>
  </si>
  <si>
    <t>Ref</t>
  </si>
  <si>
    <t>Type</t>
  </si>
  <si>
    <t>IRM15-15</t>
  </si>
  <si>
    <t>IRM10-5</t>
  </si>
  <si>
    <t>Total</t>
  </si>
  <si>
    <t>Test Performed</t>
  </si>
  <si>
    <t>Leakage Test Method</t>
  </si>
  <si>
    <t>Conclusion</t>
  </si>
  <si>
    <t>Theoretical max leakage @ 240VAC
mA</t>
  </si>
  <si>
    <t>Theoretical max leakage @ 110VAC
mA</t>
  </si>
  <si>
    <t>Leakage @ 240VAC mA</t>
  </si>
  <si>
    <t>DC Power Wires</t>
  </si>
  <si>
    <t>Inside case between CN2 and CN3</t>
  </si>
  <si>
    <t>Lid</t>
  </si>
  <si>
    <t>Powering Instrument with Roland PSU (VFD/PWM) - Closed Casing</t>
  </si>
  <si>
    <t>Outside case, hottest part 10mm NW  "TONE EDIT MAP" label, hot area 150x100mm</t>
  </si>
  <si>
    <t>Outside case, hottest part 10mm NW  "TONE EDIT MAP" label. Hot area approx 20x60mm</t>
  </si>
  <si>
    <t>ACDC Temperature measurement</t>
  </si>
  <si>
    <t>Earth Leakage Tests</t>
  </si>
  <si>
    <t>Earth Leakage Characteristics</t>
  </si>
  <si>
    <t>Fuse Tests</t>
  </si>
  <si>
    <t>Didn't open after 30 cycles of pulling plug from wall socket.
Didn't open after 30 cycles of power switch on Roland JX10 performed 3 per day over 2 weeks.</t>
  </si>
  <si>
    <t>Fast Blow</t>
  </si>
  <si>
    <t>DIN41660</t>
  </si>
  <si>
    <t>Wickmann</t>
  </si>
  <si>
    <t>F2A19194</t>
  </si>
  <si>
    <t>Didn't open after 30 cycles at maximum power rating. Unexpected result because fast blow do not tolerate inrush current.</t>
  </si>
  <si>
    <t>Opened after 23 cycles of unloaded and pulling plug (worst case) from wall socket. Deemed borderline and expected.</t>
  </si>
  <si>
    <t>Summary</t>
  </si>
  <si>
    <t>Part Chosen: 2Amp IEC Time Delay</t>
  </si>
  <si>
    <t>Resistive shunt 10K ohm AC RMS DVM (Accurate)</t>
  </si>
  <si>
    <t>AC RMS Milliameter (Low resolution)</t>
  </si>
  <si>
    <t>Aligns with results from model, T2A fuse type required.</t>
  </si>
  <si>
    <t>No Load</t>
  </si>
  <si>
    <t>Trace</t>
  </si>
  <si>
    <t>15, 16</t>
  </si>
  <si>
    <t>18, 19</t>
  </si>
  <si>
    <t>20, 21</t>
  </si>
  <si>
    <t>22, 23</t>
  </si>
  <si>
    <t>I</t>
  </si>
  <si>
    <t>II</t>
  </si>
  <si>
    <t>Replacement power supply does not meet class II isolation, therefore the instrument should be wired as class I, i.e. with a protective earth.
Using measurement, it can be calculated that on average, each ACDC converter has an input to output capacitance of 500pF that leads to this leakage. It is likely that the close coupling of the output transformers and internal layout and expected.</t>
  </si>
  <si>
    <t>Author</t>
  </si>
  <si>
    <t>Guy Wilkinson</t>
  </si>
  <si>
    <t>Version</t>
  </si>
  <si>
    <t>Date</t>
  </si>
  <si>
    <t>Change Description</t>
  </si>
  <si>
    <t>First version for public release</t>
  </si>
  <si>
    <t>Copyright © 2018 Super Synth Projects, Guy Wilkinson</t>
  </si>
  <si>
    <t>Design Calculations &amp; Test Results</t>
  </si>
  <si>
    <t>Creation</t>
  </si>
  <si>
    <t>SuperJX Replacement Power Supply</t>
  </si>
  <si>
    <t>Resistive Loaded
15V@1A/5V@1.7A/9V@0.54A</t>
  </si>
  <si>
    <t>L5 Voltage Drop (Loaded to 540mA)</t>
  </si>
  <si>
    <t>L6 Voltage Drop (Loaded to 540mA)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</si>
</sst>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
    <numFmt numFmtId="166" formatCode="[$-809]dd\ mmmm\ yyyy;@"/>
  </numFmts>
  <fonts count="10" x14ac:knownFonts="1">
    <font>
      <sz val="11"/>
      <color theme="1"/>
      <name val="Calibri"/>
      <family val="2"/>
      <scheme val="minor"/>
    </font>
    <font>
      <sz val="8"/>
      <color theme="1"/>
      <name val="Arial"/>
      <family val="2"/>
    </font>
    <font>
      <b/>
      <sz val="8"/>
      <color theme="1"/>
      <name val="Arial"/>
      <family val="2"/>
    </font>
    <font>
      <u/>
      <sz val="11"/>
      <color theme="10"/>
      <name val="Calibri"/>
      <family val="2"/>
      <scheme val="minor"/>
    </font>
    <font>
      <u/>
      <sz val="8"/>
      <color theme="10"/>
      <name val="Arial"/>
      <family val="2"/>
    </font>
    <font>
      <b/>
      <sz val="10"/>
      <color theme="1"/>
      <name val="Arial"/>
      <family val="2"/>
    </font>
    <font>
      <b/>
      <i/>
      <sz val="8"/>
      <color theme="1"/>
      <name val="Arial"/>
      <family val="2"/>
    </font>
    <font>
      <b/>
      <sz val="12"/>
      <color theme="1"/>
      <name val="Arial"/>
      <family val="2"/>
    </font>
    <font>
      <sz val="11"/>
      <color theme="1"/>
      <name val="Arial"/>
      <family val="2"/>
    </font>
    <font>
      <b/>
      <sz val="11"/>
      <color theme="1"/>
      <name val="Arial"/>
      <family val="2"/>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ck">
        <color indexed="64"/>
      </left>
      <right style="thick">
        <color indexed="64"/>
      </right>
      <top style="thick">
        <color indexed="64"/>
      </top>
      <bottom style="thick">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s>
  <cellStyleXfs count="2">
    <xf numFmtId="0" fontId="0" fillId="0" borderId="0"/>
    <xf numFmtId="0" fontId="3" fillId="0" borderId="0" applyNumberFormat="0" applyFill="0" applyBorder="0" applyAlignment="0" applyProtection="0"/>
  </cellStyleXfs>
  <cellXfs count="87">
    <xf numFmtId="0" fontId="0" fillId="0" borderId="0" xfId="0"/>
    <xf numFmtId="0" fontId="1" fillId="0" borderId="0" xfId="0" applyFont="1"/>
    <xf numFmtId="0" fontId="1" fillId="0" borderId="0" xfId="0" applyFont="1" applyAlignment="1">
      <alignment horizontal="center" vertical="center"/>
    </xf>
    <xf numFmtId="0" fontId="2" fillId="0" borderId="0" xfId="0" applyFont="1" applyAlignment="1">
      <alignment wrapText="1"/>
    </xf>
    <xf numFmtId="0" fontId="2" fillId="0" borderId="1" xfId="0" applyFont="1" applyBorder="1" applyAlignment="1">
      <alignment horizontal="center" vertical="center" wrapText="1"/>
    </xf>
    <xf numFmtId="0" fontId="1" fillId="0" borderId="1" xfId="0" quotePrefix="1" applyFont="1" applyBorder="1" applyAlignment="1">
      <alignment horizontal="center" vertical="center"/>
    </xf>
    <xf numFmtId="0" fontId="1" fillId="0" borderId="1" xfId="0" applyFont="1" applyBorder="1" applyAlignment="1">
      <alignment horizontal="center" vertical="center"/>
    </xf>
    <xf numFmtId="1" fontId="1" fillId="0" borderId="1" xfId="0" applyNumberFormat="1" applyFont="1" applyBorder="1" applyAlignment="1">
      <alignment horizontal="center" vertical="center"/>
    </xf>
    <xf numFmtId="0" fontId="2"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left" vertical="center"/>
    </xf>
    <xf numFmtId="0" fontId="1" fillId="0" borderId="0" xfId="0" applyFont="1" applyAlignment="1">
      <alignment vertical="center"/>
    </xf>
    <xf numFmtId="0" fontId="2" fillId="0" borderId="0" xfId="0" applyFont="1" applyAlignment="1">
      <alignment vertical="center"/>
    </xf>
    <xf numFmtId="164" fontId="2" fillId="0" borderId="0" xfId="0" applyNumberFormat="1" applyFont="1" applyAlignment="1">
      <alignment horizontal="center" vertical="center"/>
    </xf>
    <xf numFmtId="0" fontId="1" fillId="0" borderId="1" xfId="0" applyFont="1" applyBorder="1" applyAlignment="1">
      <alignment vertical="center"/>
    </xf>
    <xf numFmtId="2" fontId="1" fillId="0" borderId="1" xfId="0" applyNumberFormat="1" applyFont="1" applyBorder="1" applyAlignment="1">
      <alignment horizontal="center" vertical="center"/>
    </xf>
    <xf numFmtId="164" fontId="1" fillId="0" borderId="1" xfId="0" applyNumberFormat="1" applyFont="1" applyBorder="1" applyAlignment="1">
      <alignment horizontal="center" vertical="center"/>
    </xf>
    <xf numFmtId="1" fontId="2" fillId="0" borderId="0" xfId="0" applyNumberFormat="1" applyFont="1" applyAlignment="1">
      <alignment horizontal="center" vertical="center"/>
    </xf>
    <xf numFmtId="0" fontId="2" fillId="0" borderId="1" xfId="0" applyFont="1" applyBorder="1" applyAlignment="1">
      <alignment vertical="center"/>
    </xf>
    <xf numFmtId="0" fontId="5" fillId="0" borderId="0" xfId="0" applyFont="1" applyAlignment="1">
      <alignment vertical="center"/>
    </xf>
    <xf numFmtId="2" fontId="1" fillId="0" borderId="1" xfId="0" applyNumberFormat="1" applyFont="1" applyBorder="1" applyAlignment="1">
      <alignment vertical="center"/>
    </xf>
    <xf numFmtId="0" fontId="1" fillId="0" borderId="1" xfId="0" applyFont="1" applyBorder="1" applyAlignment="1">
      <alignment horizontal="right" vertical="center"/>
    </xf>
    <xf numFmtId="0" fontId="4" fillId="0" borderId="1" xfId="1" applyFont="1" applyBorder="1" applyAlignment="1">
      <alignment vertical="center"/>
    </xf>
    <xf numFmtId="0" fontId="5" fillId="0" borderId="0" xfId="0" applyFont="1"/>
    <xf numFmtId="0" fontId="5" fillId="0" borderId="0" xfId="0" applyFont="1" applyAlignment="1">
      <alignment horizontal="left" vertical="center"/>
    </xf>
    <xf numFmtId="0" fontId="2" fillId="0" borderId="1" xfId="0" applyFont="1" applyBorder="1" applyAlignment="1">
      <alignment horizontal="center" vertical="center"/>
    </xf>
    <xf numFmtId="164" fontId="2" fillId="0" borderId="3" xfId="0" applyNumberFormat="1" applyFont="1" applyBorder="1" applyAlignment="1">
      <alignment horizontal="center" vertical="center"/>
    </xf>
    <xf numFmtId="1" fontId="2" fillId="0" borderId="3" xfId="0" applyNumberFormat="1" applyFont="1" applyBorder="1" applyAlignment="1">
      <alignment horizontal="center" vertical="center"/>
    </xf>
    <xf numFmtId="2" fontId="1" fillId="0" borderId="2" xfId="0" applyNumberFormat="1" applyFont="1" applyBorder="1" applyAlignment="1">
      <alignment horizontal="center" vertical="center"/>
    </xf>
    <xf numFmtId="164" fontId="1" fillId="0" borderId="2" xfId="0" applyNumberFormat="1" applyFont="1" applyBorder="1" applyAlignment="1">
      <alignment horizontal="center" vertical="center"/>
    </xf>
    <xf numFmtId="0" fontId="1" fillId="0" borderId="2" xfId="0" applyFont="1" applyBorder="1" applyAlignment="1">
      <alignment horizontal="center" vertical="center"/>
    </xf>
    <xf numFmtId="0" fontId="2" fillId="0" borderId="3" xfId="0" applyFont="1" applyBorder="1" applyAlignment="1">
      <alignment horizontal="right" vertical="center"/>
    </xf>
    <xf numFmtId="0" fontId="1" fillId="0" borderId="1" xfId="0" applyFont="1" applyBorder="1"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center" vertical="center"/>
    </xf>
    <xf numFmtId="165" fontId="1" fillId="0" borderId="1" xfId="0" applyNumberFormat="1"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vertical="center"/>
    </xf>
    <xf numFmtId="0" fontId="1" fillId="0" borderId="1" xfId="0" applyFont="1" applyBorder="1" applyAlignment="1">
      <alignment horizontal="left" vertical="center"/>
    </xf>
    <xf numFmtId="0" fontId="2"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3" xfId="0" applyFont="1" applyBorder="1" applyAlignment="1">
      <alignment horizontal="center" vertical="center"/>
    </xf>
    <xf numFmtId="0" fontId="2" fillId="0" borderId="0" xfId="0" applyFont="1" applyBorder="1" applyAlignment="1">
      <alignment horizontal="right" vertical="center"/>
    </xf>
    <xf numFmtId="0" fontId="2" fillId="0" borderId="0" xfId="0" applyFont="1" applyBorder="1" applyAlignment="1">
      <alignment horizontal="center" vertical="center"/>
    </xf>
    <xf numFmtId="0" fontId="1" fillId="0" borderId="0" xfId="0" applyFont="1" applyAlignment="1">
      <alignment horizontal="left" vertical="center"/>
    </xf>
    <xf numFmtId="0" fontId="1" fillId="0" borderId="0" xfId="0" applyFont="1" applyBorder="1" applyAlignment="1">
      <alignment horizontal="left" vertical="center"/>
    </xf>
    <xf numFmtId="0" fontId="1" fillId="0" borderId="0" xfId="0" applyFont="1" applyBorder="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2" fontId="2" fillId="0" borderId="3" xfId="0" applyNumberFormat="1" applyFont="1" applyBorder="1" applyAlignment="1">
      <alignment horizontal="center" vertical="center"/>
    </xf>
    <xf numFmtId="0" fontId="1" fillId="0" borderId="1" xfId="0" applyFont="1" applyBorder="1" applyAlignment="1">
      <alignment vertical="center" wrapText="1"/>
    </xf>
    <xf numFmtId="0" fontId="8" fillId="0" borderId="0" xfId="0" applyFont="1" applyAlignment="1">
      <alignment vertical="center"/>
    </xf>
    <xf numFmtId="0" fontId="9" fillId="0" borderId="0" xfId="0" applyFont="1" applyAlignment="1">
      <alignment horizontal="left" vertical="center"/>
    </xf>
    <xf numFmtId="0" fontId="8" fillId="0" borderId="0" xfId="0" applyFont="1" applyAlignment="1">
      <alignment horizontal="center" vertical="center"/>
    </xf>
    <xf numFmtId="0" fontId="8" fillId="0" borderId="0" xfId="0" applyFont="1" applyAlignment="1">
      <alignment horizontal="left" vertical="center"/>
    </xf>
    <xf numFmtId="0" fontId="9" fillId="0" borderId="1" xfId="0" applyFont="1" applyBorder="1" applyAlignment="1">
      <alignment horizontal="center" vertical="center"/>
    </xf>
    <xf numFmtId="0" fontId="9" fillId="0" borderId="1" xfId="0" applyFont="1" applyBorder="1" applyAlignment="1">
      <alignment vertical="center"/>
    </xf>
    <xf numFmtId="0" fontId="8" fillId="0" borderId="1" xfId="0" applyFont="1" applyBorder="1" applyAlignment="1">
      <alignment horizontal="center" vertical="center"/>
    </xf>
    <xf numFmtId="0" fontId="8" fillId="0" borderId="1" xfId="0" applyFont="1" applyBorder="1" applyAlignment="1">
      <alignment vertical="center" wrapText="1"/>
    </xf>
    <xf numFmtId="0" fontId="8" fillId="0" borderId="1" xfId="0" applyFont="1" applyBorder="1" applyAlignment="1">
      <alignment vertical="center"/>
    </xf>
    <xf numFmtId="0" fontId="7" fillId="0" borderId="0" xfId="0" applyFont="1" applyBorder="1" applyAlignment="1">
      <alignment horizontal="left" vertical="center" wrapText="1"/>
    </xf>
    <xf numFmtId="0" fontId="8" fillId="0" borderId="0" xfId="0" applyFont="1" applyBorder="1" applyAlignment="1">
      <alignment vertical="center"/>
    </xf>
    <xf numFmtId="0" fontId="8" fillId="0" borderId="11" xfId="0" applyFont="1" applyBorder="1" applyAlignment="1">
      <alignment horizontal="center" vertical="center"/>
    </xf>
    <xf numFmtId="166" fontId="8" fillId="0" borderId="1" xfId="0" applyNumberFormat="1" applyFont="1" applyBorder="1" applyAlignment="1">
      <alignment horizontal="center" vertical="center"/>
    </xf>
    <xf numFmtId="166" fontId="8" fillId="0" borderId="0" xfId="0" applyNumberFormat="1" applyFont="1" applyAlignment="1">
      <alignment horizontal="center" vertical="center"/>
    </xf>
    <xf numFmtId="0" fontId="7" fillId="0" borderId="11" xfId="0" applyFont="1" applyBorder="1" applyAlignment="1">
      <alignment horizontal="left" vertical="center" wrapText="1"/>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4" xfId="0" applyFont="1" applyBorder="1" applyAlignment="1">
      <alignment horizontal="center" vertical="center" wrapText="1"/>
    </xf>
    <xf numFmtId="0" fontId="1" fillId="0" borderId="1" xfId="0" applyFont="1" applyBorder="1" applyAlignment="1">
      <alignment horizontal="left" vertical="center"/>
    </xf>
    <xf numFmtId="0" fontId="2" fillId="0" borderId="1" xfId="0" applyFont="1" applyBorder="1" applyAlignment="1">
      <alignment horizontal="center" vertical="center"/>
    </xf>
    <xf numFmtId="0" fontId="2" fillId="0" borderId="8" xfId="0" applyFont="1" applyBorder="1" applyAlignment="1">
      <alignment horizontal="right" vertical="center"/>
    </xf>
    <xf numFmtId="0" fontId="2" fillId="0" borderId="9" xfId="0" applyFont="1" applyBorder="1" applyAlignment="1">
      <alignment horizontal="right" vertical="center"/>
    </xf>
    <xf numFmtId="0" fontId="1" fillId="0" borderId="4" xfId="0" applyFont="1" applyBorder="1" applyAlignment="1">
      <alignment horizontal="center" vertical="center"/>
    </xf>
    <xf numFmtId="0" fontId="2" fillId="0" borderId="1" xfId="0" applyFont="1" applyBorder="1" applyAlignment="1">
      <alignment horizontal="left" vertical="center"/>
    </xf>
    <xf numFmtId="0" fontId="6" fillId="0" borderId="1" xfId="0" applyFont="1" applyBorder="1" applyAlignment="1">
      <alignment horizontal="left" vertical="center"/>
    </xf>
    <xf numFmtId="0" fontId="2" fillId="0" borderId="10" xfId="0" applyFont="1" applyBorder="1" applyAlignment="1">
      <alignment horizontal="center" vertical="center"/>
    </xf>
    <xf numFmtId="0" fontId="2" fillId="0" borderId="3" xfId="0" applyFont="1" applyBorder="1" applyAlignment="1">
      <alignment horizontal="center" vertical="center"/>
    </xf>
    <xf numFmtId="0" fontId="2" fillId="0" borderId="1" xfId="0" applyFont="1" applyBorder="1" applyAlignment="1">
      <alignment horizontal="center" vertical="center" wrapText="1"/>
    </xf>
    <xf numFmtId="0" fontId="1" fillId="0" borderId="5" xfId="0" applyFont="1" applyBorder="1" applyAlignment="1">
      <alignment horizontal="left" vertical="center" wrapText="1"/>
    </xf>
    <xf numFmtId="0" fontId="1" fillId="0" borderId="7" xfId="0" applyFont="1" applyBorder="1" applyAlignment="1">
      <alignment horizontal="left" vertical="center" wrapText="1"/>
    </xf>
    <xf numFmtId="0" fontId="1" fillId="0" borderId="5" xfId="0" applyFont="1" applyBorder="1" applyAlignment="1">
      <alignment horizontal="left" vertical="center"/>
    </xf>
    <xf numFmtId="0" fontId="1" fillId="0" borderId="6" xfId="0" applyFont="1" applyBorder="1" applyAlignment="1">
      <alignment horizontal="left" vertical="center"/>
    </xf>
    <xf numFmtId="0" fontId="1" fillId="0" borderId="7" xfId="0" applyFont="1" applyBorder="1" applyAlignment="1">
      <alignment horizontal="left" vertical="center"/>
    </xf>
    <xf numFmtId="0" fontId="1" fillId="0" borderId="1" xfId="0" applyFont="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12</xdr:col>
      <xdr:colOff>409575</xdr:colOff>
      <xdr:row>48</xdr:row>
      <xdr:rowOff>104775</xdr:rowOff>
    </xdr:to>
    <xdr:pic>
      <xdr:nvPicPr>
        <xdr:cNvPr id="2" name="Picture 1">
          <a:extLst>
            <a:ext uri="{FF2B5EF4-FFF2-40B4-BE49-F238E27FC236}">
              <a16:creationId xmlns:a16="http://schemas.microsoft.com/office/drawing/2014/main" id="{6ECF6749-363F-49BB-A2CA-5B6C5F8F5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7700" y="361950"/>
          <a:ext cx="7534275" cy="8429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xdr:row>
      <xdr:rowOff>0</xdr:rowOff>
    </xdr:from>
    <xdr:to>
      <xdr:col>20</xdr:col>
      <xdr:colOff>217509</xdr:colOff>
      <xdr:row>85</xdr:row>
      <xdr:rowOff>140980</xdr:rowOff>
    </xdr:to>
    <xdr:pic>
      <xdr:nvPicPr>
        <xdr:cNvPr id="3" name="Picture 2">
          <a:extLst>
            <a:ext uri="{FF2B5EF4-FFF2-40B4-BE49-F238E27FC236}">
              <a16:creationId xmlns:a16="http://schemas.microsoft.com/office/drawing/2014/main" id="{404EF2EE-1410-4596-BA02-808C3BA750F5}"/>
            </a:ext>
          </a:extLst>
        </xdr:cNvPr>
        <xdr:cNvPicPr>
          <a:picLocks noChangeAspect="1"/>
        </xdr:cNvPicPr>
      </xdr:nvPicPr>
      <xdr:blipFill>
        <a:blip xmlns:r="http://schemas.openxmlformats.org/officeDocument/2006/relationships" r:embed="rId2"/>
        <a:stretch>
          <a:fillRect/>
        </a:stretch>
      </xdr:blipFill>
      <xdr:spPr>
        <a:xfrm>
          <a:off x="647700" y="361950"/>
          <a:ext cx="12523809" cy="151619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16</xdr:col>
      <xdr:colOff>446476</xdr:colOff>
      <xdr:row>18</xdr:row>
      <xdr:rowOff>171071</xdr:rowOff>
    </xdr:to>
    <xdr:pic>
      <xdr:nvPicPr>
        <xdr:cNvPr id="2" name="Picture 1">
          <a:extLst>
            <a:ext uri="{FF2B5EF4-FFF2-40B4-BE49-F238E27FC236}">
              <a16:creationId xmlns:a16="http://schemas.microsoft.com/office/drawing/2014/main" id="{07B620CD-F1B8-47BE-B047-BC97C054DFC1}"/>
            </a:ext>
          </a:extLst>
        </xdr:cNvPr>
        <xdr:cNvPicPr>
          <a:picLocks noChangeAspect="1"/>
        </xdr:cNvPicPr>
      </xdr:nvPicPr>
      <xdr:blipFill>
        <a:blip xmlns:r="http://schemas.openxmlformats.org/officeDocument/2006/relationships" r:embed="rId1"/>
        <a:stretch>
          <a:fillRect/>
        </a:stretch>
      </xdr:blipFill>
      <xdr:spPr>
        <a:xfrm>
          <a:off x="647700" y="542925"/>
          <a:ext cx="10161976" cy="288569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25</xdr:col>
      <xdr:colOff>474286</xdr:colOff>
      <xdr:row>47</xdr:row>
      <xdr:rowOff>46500</xdr:rowOff>
    </xdr:to>
    <xdr:pic>
      <xdr:nvPicPr>
        <xdr:cNvPr id="2" name="Picture 1">
          <a:extLst>
            <a:ext uri="{FF2B5EF4-FFF2-40B4-BE49-F238E27FC236}">
              <a16:creationId xmlns:a16="http://schemas.microsoft.com/office/drawing/2014/main" id="{E5645E0B-16F6-4EE0-8E15-1673D49F46EF}"/>
            </a:ext>
          </a:extLst>
        </xdr:cNvPr>
        <xdr:cNvPicPr>
          <a:picLocks noChangeAspect="1"/>
        </xdr:cNvPicPr>
      </xdr:nvPicPr>
      <xdr:blipFill>
        <a:blip xmlns:r="http://schemas.openxmlformats.org/officeDocument/2006/relationships" r:embed="rId1"/>
        <a:stretch>
          <a:fillRect/>
        </a:stretch>
      </xdr:blipFill>
      <xdr:spPr>
        <a:xfrm>
          <a:off x="0" y="0"/>
          <a:ext cx="16666786" cy="85523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37C75-43A8-416E-AC06-2EEB19D435B2}">
  <dimension ref="A1:D16"/>
  <sheetViews>
    <sheetView workbookViewId="0">
      <selection activeCell="B20" sqref="B20"/>
    </sheetView>
  </sheetViews>
  <sheetFormatPr defaultRowHeight="13.5" x14ac:dyDescent="0.45"/>
  <cols>
    <col min="1" max="1" width="8.46484375" style="55" customWidth="1"/>
    <col min="2" max="2" width="13.53125" style="55" customWidth="1"/>
    <col min="3" max="3" width="16.53125" style="55" customWidth="1"/>
    <col min="4" max="4" width="64.6640625" style="53" customWidth="1"/>
    <col min="5" max="16384" width="9.06640625" style="53"/>
  </cols>
  <sheetData>
    <row r="1" spans="1:4" ht="36" customHeight="1" thickTop="1" thickBot="1" x14ac:dyDescent="0.5">
      <c r="A1" s="68" t="s">
        <v>249</v>
      </c>
      <c r="B1" s="69"/>
      <c r="C1" s="69"/>
      <c r="D1" s="70"/>
    </row>
    <row r="2" spans="1:4" ht="38.65" customHeight="1" thickTop="1" thickBot="1" x14ac:dyDescent="0.5">
      <c r="A2" s="67" t="s">
        <v>247</v>
      </c>
      <c r="B2" s="67"/>
      <c r="C2" s="67"/>
      <c r="D2" s="64" t="s">
        <v>246</v>
      </c>
    </row>
    <row r="3" spans="1:4" ht="18" customHeight="1" thickTop="1" x14ac:dyDescent="0.45">
      <c r="A3" s="62"/>
      <c r="B3" s="62"/>
      <c r="C3" s="62"/>
      <c r="D3" s="63"/>
    </row>
    <row r="4" spans="1:4" ht="13.9" x14ac:dyDescent="0.45">
      <c r="A4" s="54" t="s">
        <v>240</v>
      </c>
      <c r="B4" s="55" t="s">
        <v>241</v>
      </c>
    </row>
    <row r="5" spans="1:4" ht="13.9" x14ac:dyDescent="0.45">
      <c r="A5" s="54" t="s">
        <v>248</v>
      </c>
      <c r="B5" s="66">
        <v>43288</v>
      </c>
    </row>
    <row r="6" spans="1:4" ht="13.9" x14ac:dyDescent="0.45">
      <c r="A6" s="54" t="s">
        <v>242</v>
      </c>
      <c r="B6" s="55">
        <v>1</v>
      </c>
    </row>
    <row r="7" spans="1:4" x14ac:dyDescent="0.45">
      <c r="A7" s="56"/>
    </row>
    <row r="8" spans="1:4" x14ac:dyDescent="0.45">
      <c r="A8" s="56"/>
    </row>
    <row r="9" spans="1:4" ht="13.9" x14ac:dyDescent="0.45">
      <c r="A9" s="57" t="s">
        <v>242</v>
      </c>
      <c r="B9" s="57" t="s">
        <v>243</v>
      </c>
      <c r="C9" s="57" t="s">
        <v>240</v>
      </c>
      <c r="D9" s="58" t="s">
        <v>244</v>
      </c>
    </row>
    <row r="10" spans="1:4" x14ac:dyDescent="0.45">
      <c r="A10" s="59">
        <v>1</v>
      </c>
      <c r="B10" s="65">
        <v>43288</v>
      </c>
      <c r="C10" s="59" t="s">
        <v>241</v>
      </c>
      <c r="D10" s="60" t="s">
        <v>245</v>
      </c>
    </row>
    <row r="11" spans="1:4" x14ac:dyDescent="0.45">
      <c r="A11" s="59"/>
      <c r="B11" s="59"/>
      <c r="C11" s="59"/>
      <c r="D11" s="61"/>
    </row>
    <row r="12" spans="1:4" x14ac:dyDescent="0.45">
      <c r="A12" s="59"/>
      <c r="B12" s="59"/>
      <c r="C12" s="59"/>
      <c r="D12" s="61"/>
    </row>
    <row r="13" spans="1:4" x14ac:dyDescent="0.45">
      <c r="A13" s="59"/>
      <c r="B13" s="59"/>
      <c r="C13" s="59"/>
      <c r="D13" s="61"/>
    </row>
    <row r="14" spans="1:4" x14ac:dyDescent="0.45">
      <c r="A14" s="59"/>
      <c r="B14" s="59"/>
      <c r="C14" s="59"/>
      <c r="D14" s="61"/>
    </row>
    <row r="15" spans="1:4" x14ac:dyDescent="0.45">
      <c r="A15" s="59"/>
      <c r="B15" s="59"/>
      <c r="C15" s="59"/>
      <c r="D15" s="61"/>
    </row>
    <row r="16" spans="1:4" x14ac:dyDescent="0.45">
      <c r="A16" s="59"/>
      <c r="B16" s="59"/>
      <c r="C16" s="59"/>
      <c r="D16" s="61"/>
    </row>
  </sheetData>
  <mergeCells count="2">
    <mergeCell ref="A2:C2"/>
    <mergeCell ref="A1:D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7"/>
  <sheetViews>
    <sheetView workbookViewId="0">
      <selection activeCell="C30" sqref="C30"/>
    </sheetView>
  </sheetViews>
  <sheetFormatPr defaultColWidth="9" defaultRowHeight="10.15" x14ac:dyDescent="0.3"/>
  <cols>
    <col min="1" max="1" width="6" style="2" customWidth="1"/>
    <col min="2" max="2" width="7.3984375" style="2" customWidth="1"/>
    <col min="3" max="3" width="6.86328125" style="2" customWidth="1"/>
    <col min="4" max="4" width="8.265625" style="2" customWidth="1"/>
    <col min="5" max="5" width="5.86328125" style="2" customWidth="1"/>
    <col min="6" max="6" width="8.1328125" style="2" customWidth="1"/>
    <col min="7" max="7" width="9.3984375" style="2" customWidth="1"/>
    <col min="8" max="8" width="6.86328125" style="2" customWidth="1"/>
    <col min="9" max="9" width="6.1328125" style="2" customWidth="1"/>
    <col min="10" max="10" width="6" style="2" customWidth="1"/>
    <col min="11" max="11" width="6.1328125" style="1" customWidth="1"/>
    <col min="12" max="16384" width="9" style="1"/>
  </cols>
  <sheetData>
    <row r="1" spans="1:11" ht="13.15" x14ac:dyDescent="0.3">
      <c r="A1" s="26" t="s">
        <v>93</v>
      </c>
    </row>
    <row r="3" spans="1:11" s="3" customFormat="1" ht="40.5" x14ac:dyDescent="0.3">
      <c r="A3" s="4" t="s">
        <v>25</v>
      </c>
      <c r="B3" s="4" t="s">
        <v>1</v>
      </c>
      <c r="C3" s="4" t="s">
        <v>29</v>
      </c>
      <c r="D3" s="4" t="s">
        <v>3</v>
      </c>
      <c r="E3" s="4" t="s">
        <v>2</v>
      </c>
      <c r="F3" s="4" t="s">
        <v>4</v>
      </c>
      <c r="G3" s="4" t="s">
        <v>5</v>
      </c>
      <c r="H3" s="4" t="s">
        <v>0</v>
      </c>
      <c r="I3" s="4" t="s">
        <v>26</v>
      </c>
      <c r="J3" s="4" t="s">
        <v>28</v>
      </c>
      <c r="K3" s="4" t="s">
        <v>27</v>
      </c>
    </row>
    <row r="4" spans="1:11" x14ac:dyDescent="0.3">
      <c r="A4" s="5">
        <v>15</v>
      </c>
      <c r="B4" s="6">
        <v>220</v>
      </c>
      <c r="C4" s="6">
        <v>600</v>
      </c>
      <c r="D4" s="6">
        <f>B4</f>
        <v>220</v>
      </c>
      <c r="E4" s="6">
        <v>380</v>
      </c>
      <c r="F4" s="6">
        <f>E4</f>
        <v>380</v>
      </c>
      <c r="G4" s="6">
        <v>1000</v>
      </c>
      <c r="H4" s="6">
        <f>MAX(B4:F4)</f>
        <v>600</v>
      </c>
      <c r="I4" s="7">
        <f>(100/$G4)*H4</f>
        <v>60</v>
      </c>
      <c r="J4" s="7">
        <f>MIN(B4:F4)</f>
        <v>220</v>
      </c>
      <c r="K4" s="7">
        <f>(100/$G4)*J4</f>
        <v>22</v>
      </c>
    </row>
    <row r="5" spans="1:11" x14ac:dyDescent="0.3">
      <c r="A5" s="5">
        <v>-15</v>
      </c>
      <c r="B5" s="6">
        <v>220</v>
      </c>
      <c r="C5" s="6">
        <v>600</v>
      </c>
      <c r="D5" s="6">
        <f>B5</f>
        <v>220</v>
      </c>
      <c r="E5" s="6">
        <v>380</v>
      </c>
      <c r="F5" s="6">
        <f>E5</f>
        <v>380</v>
      </c>
      <c r="G5" s="6">
        <v>1000</v>
      </c>
      <c r="H5" s="6">
        <f>MAX(B5:F5)</f>
        <v>600</v>
      </c>
      <c r="I5" s="7">
        <f>(100/$G5)*H5</f>
        <v>60</v>
      </c>
      <c r="J5" s="7">
        <f t="shared" ref="J5:J7" si="0">MIN(B5:F5)</f>
        <v>220</v>
      </c>
      <c r="K5" s="7">
        <f>(100/$G5)*J5</f>
        <v>22</v>
      </c>
    </row>
    <row r="6" spans="1:11" x14ac:dyDescent="0.3">
      <c r="A6" s="5">
        <v>5</v>
      </c>
      <c r="B6" s="6">
        <f>(F6)+(D13*0.4)+(D14-D15)+(D16-D17)</f>
        <v>1268</v>
      </c>
      <c r="C6" s="6">
        <f>B6</f>
        <v>1268</v>
      </c>
      <c r="D6" s="6">
        <f>F6+(D16-D17)</f>
        <v>1023</v>
      </c>
      <c r="E6" s="6">
        <f>(F6+(D13*0.4)+D17)-(D16)</f>
        <v>703</v>
      </c>
      <c r="F6" s="6">
        <f>1138-D12</f>
        <v>823</v>
      </c>
      <c r="G6" s="6">
        <v>2000</v>
      </c>
      <c r="H6" s="6">
        <f>MAX(B6:F6)</f>
        <v>1268</v>
      </c>
      <c r="I6" s="7">
        <f t="shared" ref="I6:K7" si="1">(100/$G6)*H6</f>
        <v>63.400000000000006</v>
      </c>
      <c r="J6" s="7">
        <f t="shared" si="0"/>
        <v>703</v>
      </c>
      <c r="K6" s="7">
        <f t="shared" si="1"/>
        <v>35.15</v>
      </c>
    </row>
    <row r="7" spans="1:11" x14ac:dyDescent="0.3">
      <c r="A7" s="5">
        <v>9</v>
      </c>
      <c r="B7" s="6">
        <f>D11+(D13*0.6)</f>
        <v>200</v>
      </c>
      <c r="C7" s="6">
        <f>B7</f>
        <v>200</v>
      </c>
      <c r="D7" s="6">
        <f>D12+D11</f>
        <v>395</v>
      </c>
      <c r="E7" s="6">
        <f>B7</f>
        <v>200</v>
      </c>
      <c r="F7" s="6">
        <f>D7</f>
        <v>395</v>
      </c>
      <c r="G7" s="6">
        <v>550</v>
      </c>
      <c r="H7" s="6">
        <f>MAX(B7:F7)</f>
        <v>395</v>
      </c>
      <c r="I7" s="7">
        <f t="shared" si="1"/>
        <v>71.818181818181827</v>
      </c>
      <c r="J7" s="7">
        <f t="shared" si="0"/>
        <v>200</v>
      </c>
      <c r="K7" s="7">
        <f t="shared" si="1"/>
        <v>36.363636363636367</v>
      </c>
    </row>
    <row r="8" spans="1:11" x14ac:dyDescent="0.3">
      <c r="A8" s="71" t="s">
        <v>33</v>
      </c>
      <c r="B8" s="71"/>
      <c r="C8" s="71"/>
      <c r="D8" s="71"/>
      <c r="E8" s="71"/>
      <c r="F8" s="71"/>
      <c r="G8" s="71"/>
      <c r="H8" s="71"/>
      <c r="I8" s="71"/>
      <c r="J8" s="71"/>
      <c r="K8" s="71"/>
    </row>
    <row r="10" spans="1:11" x14ac:dyDescent="0.3">
      <c r="A10" s="72" t="s">
        <v>31</v>
      </c>
      <c r="B10" s="72"/>
      <c r="C10" s="72"/>
      <c r="D10" s="9" t="s">
        <v>30</v>
      </c>
    </row>
    <row r="11" spans="1:11" x14ac:dyDescent="0.3">
      <c r="A11" s="71" t="s">
        <v>19</v>
      </c>
      <c r="B11" s="71"/>
      <c r="C11" s="71"/>
      <c r="D11" s="6">
        <v>80</v>
      </c>
    </row>
    <row r="12" spans="1:11" x14ac:dyDescent="0.3">
      <c r="A12" s="71" t="s">
        <v>32</v>
      </c>
      <c r="B12" s="71"/>
      <c r="C12" s="71"/>
      <c r="D12" s="6">
        <v>315</v>
      </c>
    </row>
    <row r="13" spans="1:11" x14ac:dyDescent="0.3">
      <c r="A13" s="71" t="s">
        <v>20</v>
      </c>
      <c r="B13" s="71"/>
      <c r="C13" s="71"/>
      <c r="D13" s="6">
        <v>200</v>
      </c>
    </row>
    <row r="14" spans="1:11" x14ac:dyDescent="0.3">
      <c r="A14" s="71" t="s">
        <v>21</v>
      </c>
      <c r="B14" s="71"/>
      <c r="C14" s="71"/>
      <c r="D14" s="6">
        <f>3*75</f>
        <v>225</v>
      </c>
    </row>
    <row r="15" spans="1:11" x14ac:dyDescent="0.3">
      <c r="A15" s="71" t="s">
        <v>22</v>
      </c>
      <c r="B15" s="71"/>
      <c r="C15" s="71"/>
      <c r="D15" s="6">
        <v>60</v>
      </c>
    </row>
    <row r="16" spans="1:11" x14ac:dyDescent="0.3">
      <c r="A16" s="71" t="s">
        <v>23</v>
      </c>
      <c r="B16" s="71"/>
      <c r="C16" s="71"/>
      <c r="D16" s="6">
        <f>2*160</f>
        <v>320</v>
      </c>
    </row>
    <row r="17" spans="1:4" x14ac:dyDescent="0.3">
      <c r="A17" s="71" t="s">
        <v>24</v>
      </c>
      <c r="B17" s="71"/>
      <c r="C17" s="71"/>
      <c r="D17" s="6">
        <f>2*60</f>
        <v>120</v>
      </c>
    </row>
  </sheetData>
  <mergeCells count="9">
    <mergeCell ref="A17:C17"/>
    <mergeCell ref="A10:C10"/>
    <mergeCell ref="A8:K8"/>
    <mergeCell ref="A11:C11"/>
    <mergeCell ref="A12:C12"/>
    <mergeCell ref="A13:C13"/>
    <mergeCell ref="A14:C14"/>
    <mergeCell ref="A15:C15"/>
    <mergeCell ref="A16:C16"/>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7"/>
  <sheetViews>
    <sheetView workbookViewId="0">
      <selection activeCell="A2" sqref="A2"/>
    </sheetView>
  </sheetViews>
  <sheetFormatPr defaultColWidth="9" defaultRowHeight="10.15" x14ac:dyDescent="0.45"/>
  <cols>
    <col min="1" max="16384" width="9" style="2"/>
  </cols>
  <sheetData>
    <row r="1" spans="1:5" ht="13.15" x14ac:dyDescent="0.45">
      <c r="A1" s="26" t="s">
        <v>94</v>
      </c>
    </row>
    <row r="3" spans="1:5" s="8" customFormat="1" ht="30.4" x14ac:dyDescent="0.45">
      <c r="A3" s="4" t="s">
        <v>6</v>
      </c>
      <c r="B3" s="4" t="s">
        <v>7</v>
      </c>
      <c r="C3" s="4" t="s">
        <v>12</v>
      </c>
      <c r="D3" s="4" t="s">
        <v>15</v>
      </c>
      <c r="E3" s="4" t="s">
        <v>18</v>
      </c>
    </row>
    <row r="4" spans="1:5" x14ac:dyDescent="0.45">
      <c r="A4" s="6">
        <v>105</v>
      </c>
      <c r="B4" s="6" t="s">
        <v>8</v>
      </c>
      <c r="C4" s="6" t="s">
        <v>13</v>
      </c>
      <c r="D4" s="6" t="s">
        <v>16</v>
      </c>
      <c r="E4" s="6" t="s">
        <v>16</v>
      </c>
    </row>
    <row r="5" spans="1:5" x14ac:dyDescent="0.45">
      <c r="A5" s="6">
        <v>110</v>
      </c>
      <c r="B5" s="6" t="s">
        <v>9</v>
      </c>
      <c r="C5" s="6" t="s">
        <v>13</v>
      </c>
      <c r="D5" s="6" t="s">
        <v>16</v>
      </c>
      <c r="E5" s="6" t="s">
        <v>16</v>
      </c>
    </row>
    <row r="6" spans="1:5" x14ac:dyDescent="0.45">
      <c r="A6" s="6">
        <v>220</v>
      </c>
      <c r="B6" s="6" t="s">
        <v>10</v>
      </c>
      <c r="C6" s="6" t="s">
        <v>13</v>
      </c>
      <c r="D6" s="6" t="s">
        <v>16</v>
      </c>
      <c r="E6" s="6" t="s">
        <v>17</v>
      </c>
    </row>
    <row r="7" spans="1:5" x14ac:dyDescent="0.45">
      <c r="A7" s="6">
        <v>240</v>
      </c>
      <c r="B7" s="6" t="s">
        <v>11</v>
      </c>
      <c r="C7" s="6" t="s">
        <v>14</v>
      </c>
      <c r="D7" s="6" t="s">
        <v>17</v>
      </c>
      <c r="E7" s="6" t="s">
        <v>16</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4:F9"/>
  <sheetViews>
    <sheetView workbookViewId="0">
      <selection activeCell="F46" sqref="F46"/>
    </sheetView>
  </sheetViews>
  <sheetFormatPr defaultColWidth="9" defaultRowHeight="10.15" x14ac:dyDescent="0.45"/>
  <cols>
    <col min="1" max="4" width="10.265625" style="2" customWidth="1"/>
    <col min="5" max="5" width="12.59765625" style="2" customWidth="1"/>
    <col min="6" max="6" width="10.265625" style="2" customWidth="1"/>
    <col min="7" max="16384" width="9" style="2"/>
  </cols>
  <sheetData>
    <row r="4" spans="1:6" ht="13.15" x14ac:dyDescent="0.45">
      <c r="A4" s="26" t="s">
        <v>95</v>
      </c>
    </row>
    <row r="6" spans="1:6" s="11" customFormat="1" x14ac:dyDescent="0.45">
      <c r="A6" s="9" t="s">
        <v>52</v>
      </c>
      <c r="B6" s="9" t="s">
        <v>53</v>
      </c>
      <c r="C6" s="9" t="s">
        <v>51</v>
      </c>
      <c r="D6" s="9" t="s">
        <v>50</v>
      </c>
      <c r="E6" s="9" t="s">
        <v>49</v>
      </c>
      <c r="F6" s="9" t="s">
        <v>45</v>
      </c>
    </row>
    <row r="7" spans="1:6" x14ac:dyDescent="0.45">
      <c r="A7" s="6" t="s">
        <v>34</v>
      </c>
      <c r="B7" s="6">
        <v>5</v>
      </c>
      <c r="C7" s="6" t="s">
        <v>46</v>
      </c>
      <c r="D7" s="6" t="s">
        <v>35</v>
      </c>
      <c r="E7" s="6" t="s">
        <v>36</v>
      </c>
      <c r="F7" s="5" t="s">
        <v>37</v>
      </c>
    </row>
    <row r="8" spans="1:6" x14ac:dyDescent="0.45">
      <c r="A8" s="6" t="s">
        <v>44</v>
      </c>
      <c r="B8" s="6">
        <v>15</v>
      </c>
      <c r="C8" s="6" t="s">
        <v>47</v>
      </c>
      <c r="D8" s="6" t="s">
        <v>35</v>
      </c>
      <c r="E8" s="6" t="s">
        <v>38</v>
      </c>
      <c r="F8" s="5" t="s">
        <v>39</v>
      </c>
    </row>
    <row r="9" spans="1:6" x14ac:dyDescent="0.45">
      <c r="A9" s="6" t="s">
        <v>40</v>
      </c>
      <c r="B9" s="6">
        <v>9</v>
      </c>
      <c r="C9" s="6" t="s">
        <v>48</v>
      </c>
      <c r="D9" s="6" t="s">
        <v>41</v>
      </c>
      <c r="E9" s="6" t="s">
        <v>42</v>
      </c>
      <c r="F9" s="5" t="s">
        <v>43</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DDA67-D6F4-4B5D-9A44-5A22DE48CD14}">
  <dimension ref="A1:D20"/>
  <sheetViews>
    <sheetView workbookViewId="0">
      <selection activeCell="A24" sqref="A24"/>
    </sheetView>
  </sheetViews>
  <sheetFormatPr defaultColWidth="9.1328125" defaultRowHeight="10.15" x14ac:dyDescent="0.45"/>
  <cols>
    <col min="1" max="2" width="15.73046875" style="13" customWidth="1"/>
    <col min="3" max="3" width="15.73046875" style="2" customWidth="1"/>
    <col min="4" max="4" width="16.73046875" style="13" customWidth="1"/>
    <col min="5" max="5" width="9.1328125" style="13"/>
    <col min="6" max="6" width="15" style="13" customWidth="1"/>
    <col min="7" max="7" width="13.3984375" style="13" customWidth="1"/>
    <col min="8" max="16384" width="9.1328125" style="13"/>
  </cols>
  <sheetData>
    <row r="1" spans="1:4" ht="13.15" x14ac:dyDescent="0.45">
      <c r="A1" s="21" t="s">
        <v>217</v>
      </c>
    </row>
    <row r="2" spans="1:4" ht="13.15" x14ac:dyDescent="0.45">
      <c r="A2" s="21"/>
    </row>
    <row r="3" spans="1:4" x14ac:dyDescent="0.45">
      <c r="A3" s="14" t="s">
        <v>187</v>
      </c>
    </row>
    <row r="5" spans="1:4" x14ac:dyDescent="0.45">
      <c r="A5" s="72" t="s">
        <v>188</v>
      </c>
      <c r="B5" s="72"/>
      <c r="C5" s="72"/>
    </row>
    <row r="6" spans="1:4" ht="20.25" x14ac:dyDescent="0.45">
      <c r="A6" s="4" t="s">
        <v>189</v>
      </c>
      <c r="B6" s="4" t="s">
        <v>190</v>
      </c>
      <c r="C6" s="4" t="s">
        <v>191</v>
      </c>
    </row>
    <row r="7" spans="1:4" ht="24.75" customHeight="1" x14ac:dyDescent="0.45">
      <c r="A7" s="42" t="s">
        <v>237</v>
      </c>
      <c r="B7" s="42" t="s">
        <v>192</v>
      </c>
      <c r="C7" s="42">
        <v>0.75</v>
      </c>
    </row>
    <row r="8" spans="1:4" ht="24.75" customHeight="1" x14ac:dyDescent="0.45">
      <c r="A8" s="42" t="s">
        <v>237</v>
      </c>
      <c r="B8" s="42" t="s">
        <v>193</v>
      </c>
      <c r="C8" s="42">
        <v>3.5</v>
      </c>
    </row>
    <row r="9" spans="1:4" ht="24.75" customHeight="1" x14ac:dyDescent="0.45">
      <c r="A9" s="42" t="s">
        <v>237</v>
      </c>
      <c r="B9" s="42" t="s">
        <v>194</v>
      </c>
      <c r="C9" s="42" t="s">
        <v>195</v>
      </c>
    </row>
    <row r="10" spans="1:4" ht="24.75" customHeight="1" x14ac:dyDescent="0.45">
      <c r="A10" s="42" t="s">
        <v>238</v>
      </c>
      <c r="B10" s="42" t="s">
        <v>196</v>
      </c>
      <c r="C10" s="42">
        <v>0.25</v>
      </c>
    </row>
    <row r="12" spans="1:4" x14ac:dyDescent="0.45">
      <c r="A12" s="14" t="s">
        <v>197</v>
      </c>
    </row>
    <row r="14" spans="1:4" ht="39" customHeight="1" x14ac:dyDescent="0.45">
      <c r="A14" s="36" t="s">
        <v>198</v>
      </c>
      <c r="B14" s="36" t="s">
        <v>199</v>
      </c>
      <c r="C14" s="4" t="s">
        <v>206</v>
      </c>
      <c r="D14" s="4" t="s">
        <v>207</v>
      </c>
    </row>
    <row r="15" spans="1:4" x14ac:dyDescent="0.45">
      <c r="A15" s="6" t="s">
        <v>34</v>
      </c>
      <c r="B15" s="6" t="s">
        <v>200</v>
      </c>
      <c r="C15" s="6">
        <v>0.75</v>
      </c>
      <c r="D15" s="17">
        <f>C15/240*110</f>
        <v>0.34375</v>
      </c>
    </row>
    <row r="16" spans="1:4" x14ac:dyDescent="0.45">
      <c r="A16" s="6" t="s">
        <v>70</v>
      </c>
      <c r="B16" s="6" t="s">
        <v>200</v>
      </c>
      <c r="C16" s="6">
        <v>0.75</v>
      </c>
      <c r="D16" s="17">
        <f t="shared" ref="D16:D18" si="0">C16/240*110</f>
        <v>0.34375</v>
      </c>
    </row>
    <row r="17" spans="1:4" x14ac:dyDescent="0.45">
      <c r="A17" s="6" t="s">
        <v>71</v>
      </c>
      <c r="B17" s="6" t="s">
        <v>201</v>
      </c>
      <c r="C17" s="6">
        <v>0.75</v>
      </c>
      <c r="D17" s="17">
        <f t="shared" si="0"/>
        <v>0.34375</v>
      </c>
    </row>
    <row r="18" spans="1:4" ht="10.5" thickBot="1" x14ac:dyDescent="0.5">
      <c r="A18" s="32" t="s">
        <v>40</v>
      </c>
      <c r="B18" s="32" t="s">
        <v>42</v>
      </c>
      <c r="C18" s="32">
        <v>0.3</v>
      </c>
      <c r="D18" s="30">
        <f t="shared" si="0"/>
        <v>0.13750000000000001</v>
      </c>
    </row>
    <row r="19" spans="1:4" ht="15" customHeight="1" x14ac:dyDescent="0.45">
      <c r="A19" s="73" t="s">
        <v>202</v>
      </c>
      <c r="B19" s="74"/>
      <c r="C19" s="43">
        <f>SUM(C15:C18)</f>
        <v>2.5499999999999998</v>
      </c>
      <c r="D19" s="51">
        <f>SUM(D15:D18)</f>
        <v>1.16875</v>
      </c>
    </row>
    <row r="20" spans="1:4" ht="15" customHeight="1" x14ac:dyDescent="0.45">
      <c r="A20" s="44"/>
      <c r="B20" s="44"/>
      <c r="C20" s="45"/>
    </row>
  </sheetData>
  <mergeCells count="2">
    <mergeCell ref="A5:C5"/>
    <mergeCell ref="A19:B19"/>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6"/>
  <sheetViews>
    <sheetView zoomScale="115" zoomScaleNormal="115" workbookViewId="0">
      <selection activeCell="G8" sqref="G8"/>
    </sheetView>
  </sheetViews>
  <sheetFormatPr defaultColWidth="9" defaultRowHeight="10.15" x14ac:dyDescent="0.3"/>
  <cols>
    <col min="1" max="2" width="10.265625" style="2" customWidth="1"/>
    <col min="3" max="16384" width="9" style="1"/>
  </cols>
  <sheetData>
    <row r="1" spans="1:7" ht="13.15" x14ac:dyDescent="0.3">
      <c r="A1" s="26" t="s">
        <v>96</v>
      </c>
    </row>
    <row r="3" spans="1:7" ht="40.5" x14ac:dyDescent="0.3">
      <c r="A3" s="10" t="s">
        <v>52</v>
      </c>
      <c r="B3" s="10" t="s">
        <v>53</v>
      </c>
      <c r="C3" s="4" t="s">
        <v>25</v>
      </c>
      <c r="D3" s="4" t="s">
        <v>0</v>
      </c>
      <c r="E3" s="4" t="s">
        <v>54</v>
      </c>
      <c r="F3" s="4" t="s">
        <v>55</v>
      </c>
      <c r="G3" s="4" t="s">
        <v>56</v>
      </c>
    </row>
    <row r="4" spans="1:7" x14ac:dyDescent="0.3">
      <c r="A4" s="6" t="s">
        <v>44</v>
      </c>
      <c r="B4" s="6">
        <v>15</v>
      </c>
      <c r="C4" s="5">
        <v>15</v>
      </c>
      <c r="D4" s="6">
        <v>380</v>
      </c>
      <c r="E4" s="7">
        <v>1.8</v>
      </c>
      <c r="F4" s="6">
        <v>43</v>
      </c>
      <c r="G4" s="7">
        <v>36</v>
      </c>
    </row>
    <row r="5" spans="1:7" x14ac:dyDescent="0.3">
      <c r="A5" s="6" t="s">
        <v>34</v>
      </c>
      <c r="B5" s="6">
        <v>5</v>
      </c>
      <c r="C5" s="5">
        <v>5</v>
      </c>
      <c r="D5" s="6">
        <v>1268</v>
      </c>
      <c r="E5" s="7">
        <v>3.42</v>
      </c>
      <c r="F5" s="7">
        <v>16.68</v>
      </c>
      <c r="G5" s="7">
        <v>28</v>
      </c>
    </row>
    <row r="6" spans="1:7" x14ac:dyDescent="0.3">
      <c r="A6" s="6" t="s">
        <v>40</v>
      </c>
      <c r="B6" s="6">
        <v>9</v>
      </c>
      <c r="C6" s="5">
        <v>9</v>
      </c>
      <c r="D6" s="6">
        <v>395</v>
      </c>
      <c r="E6" s="7">
        <v>3.63</v>
      </c>
      <c r="F6" s="7">
        <v>17</v>
      </c>
      <c r="G6" s="7">
        <v>14</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A9"/>
  <sheetViews>
    <sheetView zoomScale="115" zoomScaleNormal="115" workbookViewId="0">
      <selection activeCell="A4" sqref="A4:A7"/>
    </sheetView>
  </sheetViews>
  <sheetFormatPr defaultColWidth="9.1328125" defaultRowHeight="10.15" x14ac:dyDescent="0.45"/>
  <cols>
    <col min="1" max="1" width="5.86328125" style="13" customWidth="1"/>
    <col min="2" max="2" width="5.265625" style="13" customWidth="1"/>
    <col min="3" max="3" width="6.265625" style="13" customWidth="1"/>
    <col min="4" max="4" width="5.1328125" style="13" customWidth="1"/>
    <col min="5" max="7" width="6.1328125" style="13" customWidth="1"/>
    <col min="8" max="8" width="6" style="13" customWidth="1"/>
    <col min="9" max="9" width="5.59765625" style="13" customWidth="1"/>
    <col min="10" max="11" width="6.3984375" style="13" customWidth="1"/>
    <col min="12" max="12" width="6.59765625" style="13" customWidth="1"/>
    <col min="13" max="13" width="7" style="13" customWidth="1"/>
    <col min="14" max="14" width="7" style="2" customWidth="1"/>
    <col min="15" max="27" width="9.1328125" style="2"/>
    <col min="28" max="16384" width="9.1328125" style="13"/>
  </cols>
  <sheetData>
    <row r="1" spans="1:14" ht="13.15" x14ac:dyDescent="0.45">
      <c r="A1" s="21" t="s">
        <v>97</v>
      </c>
    </row>
    <row r="3" spans="1:14" s="11" customFormat="1" ht="61.9" customHeight="1" x14ac:dyDescent="0.45">
      <c r="A3" s="4" t="s">
        <v>106</v>
      </c>
      <c r="B3" s="4" t="s">
        <v>105</v>
      </c>
      <c r="C3" s="4" t="s">
        <v>57</v>
      </c>
      <c r="D3" s="4" t="s">
        <v>104</v>
      </c>
      <c r="E3" s="4" t="s">
        <v>58</v>
      </c>
      <c r="F3" s="4" t="s">
        <v>59</v>
      </c>
      <c r="G3" s="4" t="s">
        <v>60</v>
      </c>
      <c r="H3" s="4" t="s">
        <v>103</v>
      </c>
      <c r="I3" s="4" t="s">
        <v>102</v>
      </c>
      <c r="J3" s="4" t="s">
        <v>177</v>
      </c>
      <c r="K3" s="4" t="s">
        <v>176</v>
      </c>
      <c r="L3" s="4" t="s">
        <v>100</v>
      </c>
      <c r="M3" s="4" t="s">
        <v>101</v>
      </c>
      <c r="N3" s="4" t="s">
        <v>107</v>
      </c>
    </row>
    <row r="4" spans="1:14" s="2" customFormat="1" x14ac:dyDescent="0.45">
      <c r="A4" s="6" t="s">
        <v>34</v>
      </c>
      <c r="B4" s="6">
        <v>15</v>
      </c>
      <c r="C4" s="6">
        <v>15</v>
      </c>
      <c r="D4" s="6">
        <v>82</v>
      </c>
      <c r="E4" s="17">
        <v>0.38</v>
      </c>
      <c r="F4" s="17">
        <f>E4*B4</f>
        <v>5.7</v>
      </c>
      <c r="G4" s="17">
        <f>(100/C4)*F4</f>
        <v>38</v>
      </c>
      <c r="H4" s="17">
        <f>(100/D4)*F4</f>
        <v>6.9512195121951219</v>
      </c>
      <c r="I4" s="17">
        <f>(100/D4)*C4</f>
        <v>18.292682926829269</v>
      </c>
      <c r="J4" s="18">
        <f>H4/240</f>
        <v>2.8963414634146343E-2</v>
      </c>
      <c r="K4" s="18">
        <f>I4/240</f>
        <v>7.621951219512195E-2</v>
      </c>
      <c r="L4" s="18">
        <f t="shared" ref="L4:M7" si="0">H4/85</f>
        <v>8.1779053084648487E-2</v>
      </c>
      <c r="M4" s="18">
        <f t="shared" si="0"/>
        <v>0.21520803443328551</v>
      </c>
      <c r="N4" s="6">
        <v>40</v>
      </c>
    </row>
    <row r="5" spans="1:14" s="2" customFormat="1" x14ac:dyDescent="0.45">
      <c r="A5" s="6" t="s">
        <v>70</v>
      </c>
      <c r="B5" s="6">
        <v>15</v>
      </c>
      <c r="C5" s="6">
        <v>15</v>
      </c>
      <c r="D5" s="6">
        <v>82</v>
      </c>
      <c r="E5" s="17">
        <v>0.38</v>
      </c>
      <c r="F5" s="17">
        <f>E5*B5</f>
        <v>5.7</v>
      </c>
      <c r="G5" s="17">
        <f>(100/C5)*F5</f>
        <v>38</v>
      </c>
      <c r="H5" s="17">
        <f>(100/D5)*F5</f>
        <v>6.9512195121951219</v>
      </c>
      <c r="I5" s="17">
        <f>(100/D5)*C5</f>
        <v>18.292682926829269</v>
      </c>
      <c r="J5" s="18">
        <f t="shared" ref="J5:K7" si="1">H5/240</f>
        <v>2.8963414634146343E-2</v>
      </c>
      <c r="K5" s="18">
        <f t="shared" si="1"/>
        <v>7.621951219512195E-2</v>
      </c>
      <c r="L5" s="18">
        <f t="shared" si="0"/>
        <v>8.1779053084648487E-2</v>
      </c>
      <c r="M5" s="18">
        <f t="shared" si="0"/>
        <v>0.21520803443328551</v>
      </c>
      <c r="N5" s="6">
        <v>40</v>
      </c>
    </row>
    <row r="6" spans="1:14" s="2" customFormat="1" x14ac:dyDescent="0.45">
      <c r="A6" s="6" t="s">
        <v>71</v>
      </c>
      <c r="B6" s="6">
        <v>9</v>
      </c>
      <c r="C6" s="6">
        <v>5</v>
      </c>
      <c r="D6" s="6">
        <v>80</v>
      </c>
      <c r="E6" s="17">
        <v>0.39500000000000002</v>
      </c>
      <c r="F6" s="17">
        <f>E6*B6</f>
        <v>3.5550000000000002</v>
      </c>
      <c r="G6" s="17">
        <f>(100/C6)*F6</f>
        <v>71.100000000000009</v>
      </c>
      <c r="H6" s="17">
        <f>(100/D6)*F6</f>
        <v>4.4437500000000005</v>
      </c>
      <c r="I6" s="17">
        <f>(100/D6)*C6</f>
        <v>6.25</v>
      </c>
      <c r="J6" s="18">
        <f t="shared" si="1"/>
        <v>1.8515625000000001E-2</v>
      </c>
      <c r="K6" s="18">
        <f t="shared" si="1"/>
        <v>2.6041666666666668E-2</v>
      </c>
      <c r="L6" s="18">
        <f t="shared" si="0"/>
        <v>5.2279411764705887E-2</v>
      </c>
      <c r="M6" s="18">
        <f t="shared" si="0"/>
        <v>7.3529411764705885E-2</v>
      </c>
      <c r="N6" s="6">
        <v>25</v>
      </c>
    </row>
    <row r="7" spans="1:14" s="2" customFormat="1" ht="10.5" thickBot="1" x14ac:dyDescent="0.5">
      <c r="A7" s="6" t="s">
        <v>40</v>
      </c>
      <c r="B7" s="6">
        <v>5</v>
      </c>
      <c r="C7" s="6">
        <v>10</v>
      </c>
      <c r="D7" s="6">
        <v>77</v>
      </c>
      <c r="E7" s="17">
        <v>1.268</v>
      </c>
      <c r="F7" s="17">
        <f>E7*B7</f>
        <v>6.34</v>
      </c>
      <c r="G7" s="30">
        <f>(100/C7)*F7</f>
        <v>63.4</v>
      </c>
      <c r="H7" s="30">
        <f>(100/D7)*F7</f>
        <v>8.2337662337662341</v>
      </c>
      <c r="I7" s="30">
        <f>(100/D7)*C7</f>
        <v>12.987012987012987</v>
      </c>
      <c r="J7" s="18">
        <f t="shared" si="1"/>
        <v>3.4307359307359307E-2</v>
      </c>
      <c r="K7" s="18">
        <f t="shared" si="1"/>
        <v>5.4112554112554112E-2</v>
      </c>
      <c r="L7" s="31">
        <f t="shared" si="0"/>
        <v>9.6867838044308638E-2</v>
      </c>
      <c r="M7" s="31">
        <f t="shared" si="0"/>
        <v>0.15278838808250572</v>
      </c>
      <c r="N7" s="32">
        <v>40</v>
      </c>
    </row>
    <row r="8" spans="1:14" s="2" customFormat="1" x14ac:dyDescent="0.45">
      <c r="A8" s="75"/>
      <c r="B8" s="75"/>
      <c r="C8" s="75"/>
      <c r="D8" s="75"/>
      <c r="E8" s="75"/>
      <c r="F8" s="75"/>
      <c r="G8" s="33" t="s">
        <v>99</v>
      </c>
      <c r="H8" s="29">
        <f t="shared" ref="H8:N8" si="2">SUM(H4:H7)</f>
        <v>26.579955258156481</v>
      </c>
      <c r="I8" s="29">
        <f t="shared" si="2"/>
        <v>55.822378840671526</v>
      </c>
      <c r="J8" s="28">
        <f t="shared" si="2"/>
        <v>0.110749813575652</v>
      </c>
      <c r="K8" s="28">
        <f t="shared" ref="K8" si="3">SUM(K4:K7)</f>
        <v>0.23259324516946467</v>
      </c>
      <c r="L8" s="28">
        <f t="shared" si="2"/>
        <v>0.31270535597831151</v>
      </c>
      <c r="M8" s="28">
        <f t="shared" si="2"/>
        <v>0.65673386871378259</v>
      </c>
      <c r="N8" s="29">
        <f t="shared" si="2"/>
        <v>145</v>
      </c>
    </row>
    <row r="9" spans="1:14" s="2" customFormat="1" x14ac:dyDescent="0.45">
      <c r="A9" s="14"/>
      <c r="B9" s="11"/>
      <c r="C9" s="11"/>
      <c r="D9" s="11"/>
      <c r="E9" s="11"/>
      <c r="F9" s="11"/>
      <c r="G9" s="15"/>
      <c r="H9" s="15"/>
      <c r="I9" s="15"/>
      <c r="J9" s="15"/>
      <c r="K9" s="15"/>
      <c r="L9" s="15"/>
      <c r="M9" s="15"/>
      <c r="N9" s="19"/>
    </row>
  </sheetData>
  <mergeCells count="1">
    <mergeCell ref="A8:F8"/>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29"/>
  <sheetViews>
    <sheetView workbookViewId="0">
      <selection activeCell="A35" sqref="A35"/>
    </sheetView>
  </sheetViews>
  <sheetFormatPr defaultColWidth="9" defaultRowHeight="10.15" x14ac:dyDescent="0.3"/>
  <cols>
    <col min="1" max="1" width="29.265625" style="1" customWidth="1"/>
    <col min="2" max="2" width="11" style="1" customWidth="1"/>
    <col min="3" max="3" width="9" style="1"/>
    <col min="4" max="4" width="26.3984375" style="1" customWidth="1"/>
    <col min="5" max="16384" width="9" style="1"/>
  </cols>
  <sheetData>
    <row r="1" spans="1:24" ht="13.15" x14ac:dyDescent="0.4">
      <c r="A1" s="25" t="s">
        <v>98</v>
      </c>
    </row>
    <row r="4" spans="1:24" s="14" customFormat="1" x14ac:dyDescent="0.45">
      <c r="A4" s="76" t="s">
        <v>84</v>
      </c>
      <c r="B4" s="76"/>
      <c r="C4" s="76"/>
      <c r="D4" s="20" t="s">
        <v>72</v>
      </c>
      <c r="K4" s="11"/>
      <c r="L4" s="11"/>
      <c r="M4" s="11"/>
      <c r="N4" s="11"/>
      <c r="O4" s="11"/>
      <c r="P4" s="11"/>
      <c r="Q4" s="11"/>
      <c r="R4" s="11"/>
      <c r="S4" s="11"/>
      <c r="T4" s="11"/>
      <c r="U4" s="11"/>
      <c r="V4" s="11"/>
      <c r="W4" s="11"/>
      <c r="X4" s="11"/>
    </row>
    <row r="5" spans="1:24" s="2" customFormat="1" x14ac:dyDescent="0.45">
      <c r="A5" s="12" t="s">
        <v>61</v>
      </c>
      <c r="B5" s="22">
        <f>'MainsInput&amp;LoadCharacteristics'!$M$8</f>
        <v>0.65673386871378259</v>
      </c>
      <c r="C5" s="16" t="s">
        <v>62</v>
      </c>
      <c r="D5" s="16" t="s">
        <v>89</v>
      </c>
      <c r="E5" s="13"/>
      <c r="F5" s="13"/>
      <c r="G5" s="13"/>
      <c r="H5" s="13"/>
      <c r="I5" s="13"/>
      <c r="J5" s="13"/>
    </row>
    <row r="6" spans="1:24" s="2" customFormat="1" x14ac:dyDescent="0.45">
      <c r="A6" s="34" t="s">
        <v>152</v>
      </c>
      <c r="B6" s="22">
        <f>'MainsInput&amp;LoadCharacteristics'!$M$8*1.5</f>
        <v>0.98510080307067382</v>
      </c>
      <c r="C6" s="16" t="s">
        <v>62</v>
      </c>
      <c r="D6" s="16" t="s">
        <v>63</v>
      </c>
      <c r="E6" s="13"/>
      <c r="F6" s="13"/>
      <c r="G6" s="13"/>
      <c r="H6" s="13"/>
      <c r="I6" s="13"/>
      <c r="J6" s="13"/>
    </row>
    <row r="7" spans="1:24" s="2" customFormat="1" x14ac:dyDescent="0.45">
      <c r="A7" s="12" t="s">
        <v>149</v>
      </c>
      <c r="B7" s="22">
        <f>'MainsInput&amp;LoadCharacteristics'!$M$8*2</f>
        <v>1.3134677374275652</v>
      </c>
      <c r="C7" s="16" t="s">
        <v>62</v>
      </c>
      <c r="D7" s="16" t="s">
        <v>63</v>
      </c>
      <c r="E7" s="13"/>
      <c r="F7" s="13"/>
      <c r="G7" s="13"/>
      <c r="H7" s="13"/>
      <c r="I7" s="13"/>
      <c r="J7" s="13"/>
    </row>
    <row r="8" spans="1:24" s="2" customFormat="1" x14ac:dyDescent="0.45">
      <c r="A8" s="16" t="s">
        <v>77</v>
      </c>
      <c r="B8" s="22">
        <f>(B7/95)*100</f>
        <v>1.3825976183448054</v>
      </c>
      <c r="C8" s="16" t="s">
        <v>62</v>
      </c>
      <c r="D8" s="16" t="s">
        <v>90</v>
      </c>
      <c r="E8" s="13"/>
      <c r="F8" s="13"/>
      <c r="G8" s="13"/>
      <c r="H8" s="13"/>
      <c r="I8" s="13"/>
      <c r="J8" s="13"/>
    </row>
    <row r="9" spans="1:24" s="2" customFormat="1" x14ac:dyDescent="0.45">
      <c r="A9" s="16" t="s">
        <v>148</v>
      </c>
      <c r="B9" s="22">
        <v>1</v>
      </c>
      <c r="C9" s="16" t="s">
        <v>62</v>
      </c>
      <c r="D9" s="16" t="s">
        <v>150</v>
      </c>
      <c r="E9" s="13"/>
      <c r="F9" s="13"/>
      <c r="G9" s="13"/>
      <c r="H9" s="13"/>
      <c r="I9" s="13"/>
      <c r="J9" s="13"/>
    </row>
    <row r="10" spans="1:24" s="2" customFormat="1" x14ac:dyDescent="0.45">
      <c r="A10" s="16" t="s">
        <v>147</v>
      </c>
      <c r="B10" s="22">
        <v>2</v>
      </c>
      <c r="C10" s="16" t="s">
        <v>62</v>
      </c>
      <c r="D10" s="16" t="s">
        <v>151</v>
      </c>
      <c r="E10" s="13"/>
      <c r="F10" s="13"/>
      <c r="G10" s="13"/>
      <c r="H10" s="13"/>
      <c r="I10" s="13"/>
      <c r="J10" s="13"/>
    </row>
    <row r="11" spans="1:24" s="2" customFormat="1" x14ac:dyDescent="0.45">
      <c r="A11" s="16" t="s">
        <v>64</v>
      </c>
      <c r="B11" s="23" t="s">
        <v>65</v>
      </c>
      <c r="C11" s="16"/>
      <c r="D11" s="16"/>
      <c r="E11" s="13"/>
      <c r="F11" s="13"/>
      <c r="G11" s="13"/>
      <c r="H11" s="13"/>
      <c r="I11" s="13"/>
      <c r="J11" s="13"/>
    </row>
    <row r="12" spans="1:24" s="2" customFormat="1" x14ac:dyDescent="0.45">
      <c r="A12" s="16" t="s">
        <v>66</v>
      </c>
      <c r="B12" s="23" t="s">
        <v>82</v>
      </c>
      <c r="C12" s="16"/>
      <c r="D12" s="16"/>
      <c r="E12" s="13"/>
      <c r="F12" s="13"/>
      <c r="G12" s="13"/>
      <c r="H12" s="13"/>
      <c r="I12" s="13"/>
      <c r="J12" s="13"/>
    </row>
    <row r="13" spans="1:24" s="2" customFormat="1" x14ac:dyDescent="0.45">
      <c r="A13" s="16" t="s">
        <v>50</v>
      </c>
      <c r="B13" s="23" t="s">
        <v>79</v>
      </c>
      <c r="C13" s="16"/>
      <c r="D13" s="16"/>
      <c r="E13" s="13"/>
      <c r="F13" s="13"/>
      <c r="G13" s="13"/>
      <c r="H13" s="13"/>
      <c r="I13" s="13"/>
      <c r="J13" s="13"/>
    </row>
    <row r="14" spans="1:24" s="2" customFormat="1" x14ac:dyDescent="0.45">
      <c r="A14" s="16" t="s">
        <v>153</v>
      </c>
      <c r="B14" s="23" t="s">
        <v>146</v>
      </c>
      <c r="C14" s="16"/>
      <c r="D14" s="16"/>
      <c r="E14" s="13"/>
      <c r="F14" s="13"/>
      <c r="G14" s="13"/>
      <c r="H14" s="13"/>
      <c r="I14" s="13"/>
      <c r="J14" s="13"/>
    </row>
    <row r="15" spans="1:24" s="13" customFormat="1" x14ac:dyDescent="0.45">
      <c r="A15" s="16" t="s">
        <v>155</v>
      </c>
      <c r="B15" s="16">
        <v>60</v>
      </c>
      <c r="C15" s="16" t="s">
        <v>62</v>
      </c>
      <c r="D15" s="16" t="s">
        <v>91</v>
      </c>
      <c r="K15" s="2"/>
      <c r="L15" s="2"/>
      <c r="M15" s="2"/>
      <c r="N15" s="2"/>
      <c r="O15" s="2"/>
      <c r="P15" s="2"/>
      <c r="Q15" s="2"/>
      <c r="R15" s="2"/>
      <c r="S15" s="2"/>
      <c r="T15" s="2"/>
      <c r="U15" s="2"/>
      <c r="V15" s="2"/>
      <c r="W15" s="2"/>
      <c r="X15" s="2"/>
    </row>
    <row r="16" spans="1:24" s="2" customFormat="1" x14ac:dyDescent="0.45">
      <c r="A16" s="16" t="s">
        <v>154</v>
      </c>
      <c r="B16" s="23" t="s">
        <v>78</v>
      </c>
      <c r="C16" s="16"/>
      <c r="D16" s="16"/>
      <c r="E16" s="13"/>
      <c r="F16" s="13"/>
      <c r="G16" s="13"/>
      <c r="H16" s="13"/>
      <c r="I16" s="13"/>
      <c r="J16" s="13"/>
    </row>
    <row r="17" spans="1:24" s="13" customFormat="1" x14ac:dyDescent="0.45">
      <c r="A17" s="16" t="s">
        <v>156</v>
      </c>
      <c r="B17" s="16">
        <v>105</v>
      </c>
      <c r="C17" s="16" t="s">
        <v>62</v>
      </c>
      <c r="D17" s="16" t="s">
        <v>91</v>
      </c>
      <c r="K17" s="2"/>
      <c r="L17" s="2"/>
      <c r="M17" s="2"/>
      <c r="N17" s="2"/>
      <c r="O17" s="2"/>
      <c r="P17" s="2"/>
      <c r="Q17" s="2"/>
      <c r="R17" s="2"/>
      <c r="S17" s="2"/>
      <c r="T17" s="2"/>
      <c r="U17" s="2"/>
      <c r="V17" s="2"/>
      <c r="W17" s="2"/>
      <c r="X17" s="2"/>
    </row>
    <row r="18" spans="1:24" s="13" customFormat="1" x14ac:dyDescent="0.45">
      <c r="A18" s="76" t="s">
        <v>85</v>
      </c>
      <c r="B18" s="76"/>
      <c r="C18" s="76"/>
      <c r="D18" s="76"/>
      <c r="K18" s="2"/>
      <c r="L18" s="2"/>
      <c r="M18" s="2"/>
      <c r="N18" s="2"/>
      <c r="O18" s="2"/>
      <c r="P18" s="2"/>
      <c r="Q18" s="2"/>
      <c r="R18" s="2"/>
      <c r="S18" s="2"/>
      <c r="T18" s="2"/>
      <c r="U18" s="2"/>
      <c r="V18" s="2"/>
      <c r="W18" s="2"/>
      <c r="X18" s="2"/>
    </row>
    <row r="19" spans="1:24" s="2" customFormat="1" x14ac:dyDescent="0.45">
      <c r="A19" s="16" t="s">
        <v>67</v>
      </c>
      <c r="B19" s="22">
        <f>B10*1.5</f>
        <v>3</v>
      </c>
      <c r="C19" s="16" t="s">
        <v>62</v>
      </c>
      <c r="D19" s="16"/>
      <c r="E19" s="13"/>
      <c r="F19" s="13"/>
      <c r="G19" s="13"/>
      <c r="H19" s="13"/>
      <c r="I19" s="13"/>
      <c r="J19" s="13"/>
    </row>
    <row r="20" spans="1:24" s="2" customFormat="1" x14ac:dyDescent="0.45">
      <c r="A20" s="16" t="s">
        <v>76</v>
      </c>
      <c r="B20" s="22">
        <v>5.2</v>
      </c>
      <c r="C20" s="16" t="s">
        <v>62</v>
      </c>
      <c r="D20" s="16" t="s">
        <v>87</v>
      </c>
      <c r="E20" s="13"/>
      <c r="F20" s="13"/>
      <c r="G20" s="13"/>
      <c r="H20" s="13"/>
      <c r="I20" s="13"/>
      <c r="J20" s="13"/>
    </row>
    <row r="21" spans="1:24" s="2" customFormat="1" x14ac:dyDescent="0.45">
      <c r="A21" s="16" t="s">
        <v>68</v>
      </c>
      <c r="B21" s="22">
        <f>B20/1.5</f>
        <v>3.4666666666666668</v>
      </c>
      <c r="C21" s="16" t="s">
        <v>62</v>
      </c>
      <c r="D21" s="24"/>
      <c r="E21" s="13"/>
      <c r="F21" s="13"/>
      <c r="G21" s="13"/>
      <c r="H21" s="13"/>
      <c r="I21" s="13"/>
      <c r="J21" s="13"/>
    </row>
    <row r="22" spans="1:24" s="2" customFormat="1" x14ac:dyDescent="0.45">
      <c r="A22" s="16" t="s">
        <v>73</v>
      </c>
      <c r="B22" s="16">
        <v>2</v>
      </c>
      <c r="C22" s="16" t="s">
        <v>62</v>
      </c>
      <c r="D22" s="16" t="s">
        <v>83</v>
      </c>
      <c r="E22" s="13"/>
      <c r="F22" s="13"/>
      <c r="G22" s="13"/>
      <c r="H22" s="13"/>
      <c r="I22" s="13"/>
      <c r="J22" s="13"/>
    </row>
    <row r="23" spans="1:24" s="2" customFormat="1" x14ac:dyDescent="0.45">
      <c r="A23" s="76" t="s">
        <v>75</v>
      </c>
      <c r="B23" s="76"/>
      <c r="C23" s="76"/>
      <c r="D23" s="76"/>
      <c r="E23" s="13"/>
      <c r="F23" s="13"/>
      <c r="G23" s="13"/>
      <c r="H23" s="13"/>
      <c r="I23" s="13"/>
      <c r="J23" s="13"/>
    </row>
    <row r="24" spans="1:24" s="2" customFormat="1" x14ac:dyDescent="0.45">
      <c r="A24" s="16" t="s">
        <v>74</v>
      </c>
      <c r="B24" s="16">
        <v>14</v>
      </c>
      <c r="C24" s="16" t="s">
        <v>69</v>
      </c>
      <c r="D24" s="16"/>
      <c r="E24" s="13"/>
      <c r="F24" s="13"/>
      <c r="G24" s="13"/>
      <c r="H24" s="13"/>
      <c r="I24" s="13"/>
      <c r="J24" s="13"/>
    </row>
    <row r="25" spans="1:24" s="13" customFormat="1" x14ac:dyDescent="0.45">
      <c r="A25" s="16" t="s">
        <v>157</v>
      </c>
      <c r="B25" s="16">
        <v>103</v>
      </c>
      <c r="C25" s="16" t="s">
        <v>81</v>
      </c>
      <c r="D25" s="16" t="s">
        <v>92</v>
      </c>
      <c r="K25" s="2"/>
      <c r="L25" s="2"/>
      <c r="M25" s="2"/>
      <c r="N25" s="2"/>
      <c r="O25" s="2"/>
      <c r="P25" s="2"/>
      <c r="Q25" s="2"/>
      <c r="R25" s="2"/>
      <c r="S25" s="2"/>
      <c r="T25" s="2"/>
      <c r="U25" s="2"/>
      <c r="V25" s="2"/>
      <c r="W25" s="2"/>
      <c r="X25" s="2"/>
    </row>
    <row r="26" spans="1:24" s="13" customFormat="1" x14ac:dyDescent="0.45">
      <c r="A26" s="16" t="s">
        <v>80</v>
      </c>
      <c r="B26" s="16">
        <v>60</v>
      </c>
      <c r="C26" s="16" t="s">
        <v>62</v>
      </c>
      <c r="D26" s="16"/>
      <c r="K26" s="2"/>
      <c r="L26" s="2"/>
      <c r="M26" s="2"/>
      <c r="N26" s="2"/>
      <c r="O26" s="2"/>
      <c r="P26" s="2"/>
      <c r="Q26" s="2"/>
      <c r="R26" s="2"/>
      <c r="S26" s="2"/>
      <c r="T26" s="2"/>
      <c r="U26" s="2"/>
      <c r="V26" s="2"/>
      <c r="W26" s="2"/>
      <c r="X26" s="2"/>
    </row>
    <row r="27" spans="1:24" s="13" customFormat="1" x14ac:dyDescent="0.45">
      <c r="A27" s="76" t="s">
        <v>88</v>
      </c>
      <c r="B27" s="76"/>
      <c r="C27" s="76"/>
      <c r="D27" s="76"/>
      <c r="K27" s="2"/>
      <c r="L27" s="2"/>
      <c r="M27" s="2"/>
      <c r="N27" s="2"/>
      <c r="O27" s="2"/>
      <c r="P27" s="2"/>
      <c r="Q27" s="2"/>
      <c r="R27" s="2"/>
      <c r="S27" s="2"/>
      <c r="T27" s="2"/>
      <c r="U27" s="2"/>
      <c r="V27" s="2"/>
      <c r="W27" s="2"/>
      <c r="X27" s="2"/>
    </row>
    <row r="28" spans="1:24" s="13" customFormat="1" x14ac:dyDescent="0.45">
      <c r="A28" s="71" t="s">
        <v>86</v>
      </c>
      <c r="B28" s="71"/>
      <c r="C28" s="71"/>
      <c r="D28" s="71"/>
      <c r="K28" s="2"/>
      <c r="L28" s="2"/>
      <c r="M28" s="2"/>
      <c r="N28" s="2"/>
      <c r="O28" s="2"/>
      <c r="P28" s="2"/>
      <c r="Q28" s="2"/>
      <c r="R28" s="2"/>
      <c r="S28" s="2"/>
      <c r="T28" s="2"/>
      <c r="U28" s="2"/>
      <c r="V28" s="2"/>
      <c r="W28" s="2"/>
      <c r="X28" s="2"/>
    </row>
    <row r="29" spans="1:24" s="13" customFormat="1" x14ac:dyDescent="0.45">
      <c r="A29" s="71" t="s">
        <v>158</v>
      </c>
      <c r="B29" s="71"/>
      <c r="C29" s="71"/>
      <c r="D29" s="71"/>
      <c r="K29" s="2"/>
      <c r="L29" s="2"/>
      <c r="M29" s="2"/>
      <c r="N29" s="2"/>
      <c r="O29" s="2"/>
      <c r="P29" s="2"/>
      <c r="Q29" s="2"/>
      <c r="R29" s="2"/>
      <c r="S29" s="2"/>
      <c r="T29" s="2"/>
      <c r="U29" s="2"/>
      <c r="V29" s="2"/>
      <c r="W29" s="2"/>
      <c r="X29" s="2"/>
    </row>
  </sheetData>
  <mergeCells count="6">
    <mergeCell ref="A29:D29"/>
    <mergeCell ref="A18:D18"/>
    <mergeCell ref="A4:C4"/>
    <mergeCell ref="A23:D23"/>
    <mergeCell ref="A27:D27"/>
    <mergeCell ref="A28:D2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
  <sheetViews>
    <sheetView zoomScale="55" zoomScaleNormal="55" workbookViewId="0">
      <selection activeCell="C40" sqref="C40"/>
    </sheetView>
  </sheetViews>
  <sheetFormatPr defaultRowHeight="14.25" x14ac:dyDescent="0.45"/>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workbookViewId="0">
      <selection activeCell="E24" sqref="E24"/>
    </sheetView>
  </sheetViews>
  <sheetFormatPr defaultRowHeight="14.25" x14ac:dyDescent="0.45"/>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
  <sheetViews>
    <sheetView zoomScale="85" zoomScaleNormal="85" workbookViewId="0">
      <selection activeCell="I51" sqref="I51"/>
    </sheetView>
  </sheetViews>
  <sheetFormatPr defaultRowHeight="14.25" x14ac:dyDescent="0.45"/>
  <sheetData/>
  <pageMargins left="0.7" right="0.7" top="0.75" bottom="0.75" header="0.3" footer="0.3"/>
  <pageSetup paperSize="8" scale="81"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X140"/>
  <sheetViews>
    <sheetView tabSelected="1" workbookViewId="0"/>
  </sheetViews>
  <sheetFormatPr defaultColWidth="9.1328125" defaultRowHeight="10.15" x14ac:dyDescent="0.45"/>
  <cols>
    <col min="1" max="1" width="24.86328125" style="13" customWidth="1"/>
    <col min="2" max="2" width="9" style="2" customWidth="1"/>
    <col min="3" max="3" width="7.265625" style="2" customWidth="1"/>
    <col min="4" max="4" width="6.46484375" style="2" customWidth="1"/>
    <col min="5" max="6" width="8" style="2" customWidth="1"/>
    <col min="7" max="7" width="8.3984375" style="2" customWidth="1"/>
    <col min="8" max="8" width="6.53125" style="2" customWidth="1"/>
    <col min="9" max="9" width="9.1328125" style="2"/>
    <col min="10" max="16384" width="9.1328125" style="13"/>
  </cols>
  <sheetData>
    <row r="1" spans="1:9" ht="13.15" x14ac:dyDescent="0.45">
      <c r="A1" s="21" t="s">
        <v>108</v>
      </c>
    </row>
    <row r="2" spans="1:9" ht="13.15" x14ac:dyDescent="0.45">
      <c r="A2" s="21"/>
    </row>
    <row r="3" spans="1:9" ht="14.25" customHeight="1" x14ac:dyDescent="0.45">
      <c r="A3" s="78" t="s">
        <v>231</v>
      </c>
      <c r="B3" s="78" t="s">
        <v>109</v>
      </c>
      <c r="C3" s="72" t="s">
        <v>179</v>
      </c>
      <c r="D3" s="72"/>
      <c r="E3" s="72" t="s">
        <v>178</v>
      </c>
      <c r="F3" s="72"/>
      <c r="G3" s="72"/>
      <c r="H3" s="50" t="s">
        <v>129</v>
      </c>
    </row>
    <row r="4" spans="1:9" s="14" customFormat="1" x14ac:dyDescent="0.45">
      <c r="A4" s="79"/>
      <c r="B4" s="79"/>
      <c r="C4" s="27" t="s">
        <v>110</v>
      </c>
      <c r="D4" s="27" t="s">
        <v>111</v>
      </c>
      <c r="E4" s="27" t="s">
        <v>112</v>
      </c>
      <c r="F4" s="27" t="s">
        <v>113</v>
      </c>
      <c r="G4" s="35" t="s">
        <v>114</v>
      </c>
      <c r="H4" s="35" t="s">
        <v>232</v>
      </c>
      <c r="I4" s="11"/>
    </row>
    <row r="5" spans="1:9" x14ac:dyDescent="0.45">
      <c r="A5" s="16" t="s">
        <v>115</v>
      </c>
      <c r="B5" s="6" t="s">
        <v>116</v>
      </c>
      <c r="C5" s="6">
        <v>234</v>
      </c>
      <c r="D5" s="6" t="s">
        <v>117</v>
      </c>
      <c r="E5" s="6" t="s">
        <v>118</v>
      </c>
      <c r="F5" s="6" t="s">
        <v>118</v>
      </c>
      <c r="G5" s="6" t="s">
        <v>118</v>
      </c>
      <c r="H5" s="6"/>
    </row>
    <row r="6" spans="1:9" x14ac:dyDescent="0.45">
      <c r="A6" s="16" t="s">
        <v>119</v>
      </c>
      <c r="B6" s="6" t="s">
        <v>116</v>
      </c>
      <c r="C6" s="6">
        <v>54.5</v>
      </c>
      <c r="D6" s="6" t="s">
        <v>120</v>
      </c>
      <c r="E6" s="17">
        <f>1000*(((0.15+0.1+0.1+0.1)/C5)+0.015)</f>
        <v>16.923076923076923</v>
      </c>
      <c r="F6" s="17">
        <v>15</v>
      </c>
      <c r="G6" s="6" t="str">
        <f>IF(ABS(C6)&gt;=ABS(E6),"Unexpected",IF(ABS(C6)&lt;=ABS(F6),"Unexpected","OK"))</f>
        <v>Unexpected</v>
      </c>
      <c r="H6" s="6"/>
    </row>
    <row r="7" spans="1:9" x14ac:dyDescent="0.45">
      <c r="A7" s="16" t="s">
        <v>121</v>
      </c>
      <c r="B7" s="6" t="s">
        <v>122</v>
      </c>
      <c r="C7" s="6">
        <v>15.02</v>
      </c>
      <c r="D7" s="6" t="s">
        <v>123</v>
      </c>
      <c r="E7" s="17">
        <f>15*1.025</f>
        <v>15.374999999999998</v>
      </c>
      <c r="F7" s="17">
        <f>15*0.975</f>
        <v>14.625</v>
      </c>
      <c r="G7" s="6" t="str">
        <f t="shared" ref="G7:G20" si="0">IF(ABS(C7)&gt;=ABS(E7),"Unexpected",IF(ABS(C7)&lt;=ABS(F7),"Unexpected","OK"))</f>
        <v>OK</v>
      </c>
      <c r="H7" s="6"/>
    </row>
    <row r="8" spans="1:9" x14ac:dyDescent="0.45">
      <c r="A8" s="16" t="s">
        <v>124</v>
      </c>
      <c r="B8" s="6" t="s">
        <v>122</v>
      </c>
      <c r="C8" s="6">
        <v>-15.05</v>
      </c>
      <c r="D8" s="6" t="s">
        <v>123</v>
      </c>
      <c r="E8" s="17">
        <f>-15*1.025</f>
        <v>-15.374999999999998</v>
      </c>
      <c r="F8" s="17">
        <f>-15*0.975</f>
        <v>-14.625</v>
      </c>
      <c r="G8" s="6" t="str">
        <f t="shared" si="0"/>
        <v>OK</v>
      </c>
      <c r="H8" s="6"/>
    </row>
    <row r="9" spans="1:9" x14ac:dyDescent="0.45">
      <c r="A9" s="16" t="s">
        <v>125</v>
      </c>
      <c r="B9" s="6" t="s">
        <v>122</v>
      </c>
      <c r="C9" s="6">
        <v>4.99</v>
      </c>
      <c r="D9" s="6" t="s">
        <v>123</v>
      </c>
      <c r="E9" s="17">
        <f>5*1.025</f>
        <v>5.125</v>
      </c>
      <c r="F9" s="17">
        <f>5*0.975</f>
        <v>4.875</v>
      </c>
      <c r="G9" s="6" t="str">
        <f t="shared" si="0"/>
        <v>OK</v>
      </c>
      <c r="H9" s="6"/>
    </row>
    <row r="10" spans="1:9" x14ac:dyDescent="0.45">
      <c r="A10" s="16" t="s">
        <v>126</v>
      </c>
      <c r="B10" s="6" t="s">
        <v>122</v>
      </c>
      <c r="C10" s="6">
        <v>9.14</v>
      </c>
      <c r="D10" s="6" t="s">
        <v>123</v>
      </c>
      <c r="E10" s="17">
        <f>9*1.02</f>
        <v>9.18</v>
      </c>
      <c r="F10" s="17">
        <f>9*0.98</f>
        <v>8.82</v>
      </c>
      <c r="G10" s="6" t="str">
        <f t="shared" si="0"/>
        <v>OK</v>
      </c>
      <c r="H10" s="6"/>
    </row>
    <row r="11" spans="1:9" x14ac:dyDescent="0.45">
      <c r="A11" s="16" t="s">
        <v>127</v>
      </c>
      <c r="B11" s="6" t="s">
        <v>122</v>
      </c>
      <c r="C11" s="6">
        <v>9.14</v>
      </c>
      <c r="D11" s="6" t="s">
        <v>123</v>
      </c>
      <c r="E11" s="17">
        <f>9*1.02</f>
        <v>9.18</v>
      </c>
      <c r="F11" s="17">
        <f>9*0.98</f>
        <v>8.82</v>
      </c>
      <c r="G11" s="6" t="str">
        <f t="shared" si="0"/>
        <v>OK</v>
      </c>
      <c r="H11" s="6"/>
    </row>
    <row r="12" spans="1:9" x14ac:dyDescent="0.45">
      <c r="A12" s="16" t="s">
        <v>131</v>
      </c>
      <c r="B12" s="6" t="s">
        <v>129</v>
      </c>
      <c r="C12" s="6">
        <v>42.1</v>
      </c>
      <c r="D12" s="6" t="s">
        <v>130</v>
      </c>
      <c r="E12" s="17">
        <v>200</v>
      </c>
      <c r="F12" s="17">
        <v>20</v>
      </c>
      <c r="G12" s="6" t="str">
        <f t="shared" si="0"/>
        <v>OK</v>
      </c>
      <c r="H12" s="6" t="s">
        <v>159</v>
      </c>
    </row>
    <row r="13" spans="1:9" x14ac:dyDescent="0.45">
      <c r="A13" s="16" t="s">
        <v>128</v>
      </c>
      <c r="B13" s="6" t="s">
        <v>129</v>
      </c>
      <c r="C13" s="6">
        <v>11.2</v>
      </c>
      <c r="D13" s="6" t="s">
        <v>130</v>
      </c>
      <c r="E13" s="17">
        <v>50</v>
      </c>
      <c r="F13" s="17">
        <v>0</v>
      </c>
      <c r="G13" s="6" t="str">
        <f t="shared" si="0"/>
        <v>OK</v>
      </c>
      <c r="H13" s="6">
        <v>2</v>
      </c>
    </row>
    <row r="14" spans="1:9" x14ac:dyDescent="0.45">
      <c r="A14" s="16" t="s">
        <v>133</v>
      </c>
      <c r="B14" s="6" t="s">
        <v>129</v>
      </c>
      <c r="C14" s="6">
        <v>42</v>
      </c>
      <c r="D14" s="6" t="s">
        <v>130</v>
      </c>
      <c r="E14" s="17">
        <v>200</v>
      </c>
      <c r="F14" s="17">
        <v>20</v>
      </c>
      <c r="G14" s="6" t="str">
        <f t="shared" si="0"/>
        <v>OK</v>
      </c>
      <c r="H14" s="6"/>
    </row>
    <row r="15" spans="1:9" x14ac:dyDescent="0.45">
      <c r="A15" s="16" t="s">
        <v>132</v>
      </c>
      <c r="B15" s="6" t="s">
        <v>129</v>
      </c>
      <c r="C15" s="6">
        <v>11.4</v>
      </c>
      <c r="D15" s="6" t="s">
        <v>130</v>
      </c>
      <c r="E15" s="17">
        <v>50</v>
      </c>
      <c r="F15" s="17">
        <v>0</v>
      </c>
      <c r="G15" s="6" t="str">
        <f t="shared" si="0"/>
        <v>OK</v>
      </c>
      <c r="H15" s="6"/>
    </row>
    <row r="16" spans="1:9" x14ac:dyDescent="0.45">
      <c r="A16" s="16" t="s">
        <v>135</v>
      </c>
      <c r="B16" s="6" t="s">
        <v>129</v>
      </c>
      <c r="C16" s="6">
        <v>38.4</v>
      </c>
      <c r="D16" s="6" t="s">
        <v>130</v>
      </c>
      <c r="E16" s="17">
        <v>200</v>
      </c>
      <c r="F16" s="17">
        <v>20</v>
      </c>
      <c r="G16" s="6" t="str">
        <f t="shared" si="0"/>
        <v>OK</v>
      </c>
      <c r="H16" s="6"/>
      <c r="I16" s="46" t="s">
        <v>160</v>
      </c>
    </row>
    <row r="17" spans="1:8" x14ac:dyDescent="0.45">
      <c r="A17" s="16" t="s">
        <v>134</v>
      </c>
      <c r="B17" s="6" t="s">
        <v>129</v>
      </c>
      <c r="C17" s="6">
        <v>38.4</v>
      </c>
      <c r="D17" s="6" t="s">
        <v>130</v>
      </c>
      <c r="E17" s="17">
        <v>50</v>
      </c>
      <c r="F17" s="17">
        <v>0</v>
      </c>
      <c r="G17" s="6" t="str">
        <f t="shared" si="0"/>
        <v>OK</v>
      </c>
      <c r="H17" s="6"/>
    </row>
    <row r="18" spans="1:8" x14ac:dyDescent="0.45">
      <c r="A18" s="16" t="s">
        <v>137</v>
      </c>
      <c r="B18" s="6" t="s">
        <v>129</v>
      </c>
      <c r="C18" s="6">
        <v>42.5</v>
      </c>
      <c r="D18" s="6" t="s">
        <v>130</v>
      </c>
      <c r="E18" s="17">
        <v>200</v>
      </c>
      <c r="F18" s="17">
        <v>20</v>
      </c>
      <c r="G18" s="6" t="str">
        <f t="shared" si="0"/>
        <v>OK</v>
      </c>
      <c r="H18" s="6" t="s">
        <v>168</v>
      </c>
    </row>
    <row r="19" spans="1:8" x14ac:dyDescent="0.45">
      <c r="A19" s="16" t="s">
        <v>136</v>
      </c>
      <c r="B19" s="6" t="s">
        <v>129</v>
      </c>
      <c r="C19" s="6">
        <v>11.2</v>
      </c>
      <c r="D19" s="6" t="s">
        <v>130</v>
      </c>
      <c r="E19" s="17">
        <v>50</v>
      </c>
      <c r="F19" s="17">
        <v>0</v>
      </c>
      <c r="G19" s="6" t="str">
        <f t="shared" si="0"/>
        <v>OK</v>
      </c>
      <c r="H19" s="6"/>
    </row>
    <row r="20" spans="1:8" x14ac:dyDescent="0.45">
      <c r="A20" s="16" t="s">
        <v>138</v>
      </c>
      <c r="B20" s="6" t="s">
        <v>129</v>
      </c>
      <c r="C20" s="6">
        <v>11.2</v>
      </c>
      <c r="D20" s="6" t="s">
        <v>130</v>
      </c>
      <c r="E20" s="17">
        <v>50</v>
      </c>
      <c r="F20" s="17">
        <v>0</v>
      </c>
      <c r="G20" s="6" t="str">
        <f t="shared" si="0"/>
        <v>OK</v>
      </c>
      <c r="H20" s="6"/>
    </row>
    <row r="22" spans="1:8" ht="14.25" customHeight="1" x14ac:dyDescent="0.45">
      <c r="A22" s="80" t="s">
        <v>250</v>
      </c>
      <c r="B22" s="78" t="s">
        <v>109</v>
      </c>
      <c r="C22" s="72" t="s">
        <v>179</v>
      </c>
      <c r="D22" s="72"/>
      <c r="E22" s="72" t="s">
        <v>178</v>
      </c>
      <c r="F22" s="72"/>
      <c r="G22" s="72"/>
      <c r="H22" s="50" t="s">
        <v>129</v>
      </c>
    </row>
    <row r="23" spans="1:8" x14ac:dyDescent="0.45">
      <c r="A23" s="80"/>
      <c r="B23" s="79"/>
      <c r="C23" s="35" t="str">
        <f>C4</f>
        <v>Measure</v>
      </c>
      <c r="D23" s="35" t="s">
        <v>111</v>
      </c>
      <c r="E23" s="35" t="s">
        <v>112</v>
      </c>
      <c r="F23" s="35" t="s">
        <v>113</v>
      </c>
      <c r="G23" s="35" t="s">
        <v>114</v>
      </c>
      <c r="H23" s="35" t="str">
        <f>H4</f>
        <v>Trace</v>
      </c>
    </row>
    <row r="24" spans="1:8" x14ac:dyDescent="0.45">
      <c r="A24" s="16" t="s">
        <v>115</v>
      </c>
      <c r="B24" s="6" t="s">
        <v>116</v>
      </c>
      <c r="C24" s="6">
        <v>234</v>
      </c>
      <c r="D24" s="6" t="s">
        <v>117</v>
      </c>
      <c r="E24" s="6" t="s">
        <v>118</v>
      </c>
      <c r="F24" s="6" t="s">
        <v>118</v>
      </c>
      <c r="G24" s="6" t="s">
        <v>118</v>
      </c>
      <c r="H24" s="6"/>
    </row>
    <row r="25" spans="1:8" x14ac:dyDescent="0.45">
      <c r="A25" s="16" t="s">
        <v>119</v>
      </c>
      <c r="B25" s="6" t="s">
        <v>116</v>
      </c>
      <c r="C25" s="6">
        <v>332.9</v>
      </c>
      <c r="D25" s="6" t="s">
        <v>120</v>
      </c>
      <c r="E25" s="17">
        <f>((240*233*1.1)/C24)+15</f>
        <v>277.87179487179492</v>
      </c>
      <c r="F25" s="17">
        <f>((240*233*0.9)/C24)+15</f>
        <v>230.07692307692307</v>
      </c>
      <c r="G25" s="6" t="str">
        <f>IF(ABS(C25)&gt;=ABS(E25),"Unexpected",IF(ABS(C25)&lt;=ABS(F25),"Unexpected","OK"))</f>
        <v>Unexpected</v>
      </c>
      <c r="H25" s="6"/>
    </row>
    <row r="26" spans="1:8" x14ac:dyDescent="0.45">
      <c r="A26" s="16" t="s">
        <v>161</v>
      </c>
      <c r="B26" s="6" t="s">
        <v>122</v>
      </c>
      <c r="C26" s="6">
        <v>14.96</v>
      </c>
      <c r="D26" s="6" t="s">
        <v>123</v>
      </c>
      <c r="E26" s="17">
        <f>(15*1.025)</f>
        <v>15.374999999999998</v>
      </c>
      <c r="F26" s="17">
        <f>(15*0.975)</f>
        <v>14.625</v>
      </c>
      <c r="G26" s="6" t="str">
        <f t="shared" ref="G26:G48" si="1">IF(ABS(C26)&gt;=ABS(E26),"Unexpected",IF(ABS(C26)&lt;=ABS(F26),"Unexpected","OK"))</f>
        <v>OK</v>
      </c>
      <c r="H26" s="6"/>
    </row>
    <row r="27" spans="1:8" x14ac:dyDescent="0.45">
      <c r="A27" s="16" t="s">
        <v>121</v>
      </c>
      <c r="B27" s="6" t="s">
        <v>122</v>
      </c>
      <c r="C27" s="6">
        <v>14.79</v>
      </c>
      <c r="D27" s="6" t="s">
        <v>123</v>
      </c>
      <c r="E27" s="17">
        <f>(15*1.025)-(E28/1000)</f>
        <v>15.256578947368419</v>
      </c>
      <c r="F27" s="17">
        <f>(15*0.975)-(C28/1000)</f>
        <v>14.4834</v>
      </c>
      <c r="G27" s="6" t="str">
        <f t="shared" si="1"/>
        <v>OK</v>
      </c>
      <c r="H27" s="6"/>
    </row>
    <row r="28" spans="1:8" x14ac:dyDescent="0.45">
      <c r="A28" s="16" t="s">
        <v>139</v>
      </c>
      <c r="B28" s="6" t="s">
        <v>122</v>
      </c>
      <c r="C28" s="6">
        <v>141.6</v>
      </c>
      <c r="D28" s="6" t="s">
        <v>130</v>
      </c>
      <c r="E28" s="17">
        <f>(36*(1000/380))*1.25</f>
        <v>118.42105263157896</v>
      </c>
      <c r="F28" s="17">
        <f>(36*(1000/380))*0.75</f>
        <v>71.05263157894737</v>
      </c>
      <c r="G28" s="6" t="str">
        <f t="shared" si="1"/>
        <v>Unexpected</v>
      </c>
      <c r="H28" s="6"/>
    </row>
    <row r="29" spans="1:8" x14ac:dyDescent="0.45">
      <c r="A29" s="16" t="s">
        <v>162</v>
      </c>
      <c r="B29" s="6" t="s">
        <v>122</v>
      </c>
      <c r="C29" s="6">
        <v>-15</v>
      </c>
      <c r="D29" s="6" t="s">
        <v>123</v>
      </c>
      <c r="E29" s="17">
        <f>(-15*1.025)</f>
        <v>-15.374999999999998</v>
      </c>
      <c r="F29" s="17">
        <f>(-15*0.975)</f>
        <v>-14.625</v>
      </c>
      <c r="G29" s="6" t="str">
        <f t="shared" si="1"/>
        <v>OK</v>
      </c>
      <c r="H29" s="6"/>
    </row>
    <row r="30" spans="1:8" x14ac:dyDescent="0.45">
      <c r="A30" s="16" t="s">
        <v>124</v>
      </c>
      <c r="B30" s="6" t="s">
        <v>122</v>
      </c>
      <c r="C30" s="6">
        <v>-14.81</v>
      </c>
      <c r="D30" s="6" t="s">
        <v>123</v>
      </c>
      <c r="E30" s="17">
        <f>(-15*1.025)+(E31/1000)</f>
        <v>-15.493421052631577</v>
      </c>
      <c r="F30" s="17">
        <f>(-15*0.975)+(C31/1000)</f>
        <v>-14.7738</v>
      </c>
      <c r="G30" s="6" t="str">
        <f t="shared" si="1"/>
        <v>OK</v>
      </c>
      <c r="H30" s="6"/>
    </row>
    <row r="31" spans="1:8" x14ac:dyDescent="0.45">
      <c r="A31" s="16" t="s">
        <v>140</v>
      </c>
      <c r="B31" s="6" t="s">
        <v>122</v>
      </c>
      <c r="C31" s="6">
        <v>-148.80000000000001</v>
      </c>
      <c r="D31" s="6" t="s">
        <v>130</v>
      </c>
      <c r="E31" s="17">
        <f>(36*(1000/380))*-1.25</f>
        <v>-118.42105263157896</v>
      </c>
      <c r="F31" s="17">
        <f>(36*(1000/380))*-0.75</f>
        <v>-71.05263157894737</v>
      </c>
      <c r="G31" s="6" t="str">
        <f t="shared" si="1"/>
        <v>Unexpected</v>
      </c>
      <c r="H31" s="6"/>
    </row>
    <row r="32" spans="1:8" x14ac:dyDescent="0.45">
      <c r="A32" s="16" t="s">
        <v>163</v>
      </c>
      <c r="B32" s="6" t="s">
        <v>122</v>
      </c>
      <c r="C32" s="6">
        <v>4.9800000000000004</v>
      </c>
      <c r="D32" s="6" t="s">
        <v>123</v>
      </c>
      <c r="E32" s="17">
        <f>(5*1.025)</f>
        <v>5.125</v>
      </c>
      <c r="F32" s="17">
        <f>(5*0.975)</f>
        <v>4.875</v>
      </c>
      <c r="G32" s="6" t="str">
        <f t="shared" si="1"/>
        <v>OK</v>
      </c>
      <c r="H32" s="6"/>
    </row>
    <row r="33" spans="1:9" x14ac:dyDescent="0.45">
      <c r="A33" s="16" t="s">
        <v>125</v>
      </c>
      <c r="B33" s="6" t="s">
        <v>122</v>
      </c>
      <c r="C33" s="6">
        <v>4.87</v>
      </c>
      <c r="D33" s="6" t="s">
        <v>123</v>
      </c>
      <c r="E33" s="17">
        <f>(5*1.025)-(E34/1000)</f>
        <v>5.0780757097791795</v>
      </c>
      <c r="F33" s="17">
        <f>(5*0.975)-(E34/1000)</f>
        <v>4.8280757097791795</v>
      </c>
      <c r="G33" s="6" t="str">
        <f t="shared" si="1"/>
        <v>OK</v>
      </c>
      <c r="H33" s="6"/>
    </row>
    <row r="34" spans="1:9" x14ac:dyDescent="0.45">
      <c r="A34" s="16" t="s">
        <v>141</v>
      </c>
      <c r="B34" s="6" t="s">
        <v>122</v>
      </c>
      <c r="C34" s="6">
        <v>65.900000000000006</v>
      </c>
      <c r="D34" s="6" t="s">
        <v>130</v>
      </c>
      <c r="E34" s="17">
        <f>(28*(1700/1268))*1.25</f>
        <v>46.924290220820197</v>
      </c>
      <c r="F34" s="17">
        <f>(28*(1700/1268))*0.75</f>
        <v>28.154574132492115</v>
      </c>
      <c r="G34" s="6" t="str">
        <f t="shared" si="1"/>
        <v>Unexpected</v>
      </c>
      <c r="H34" s="6"/>
    </row>
    <row r="35" spans="1:9" x14ac:dyDescent="0.45">
      <c r="A35" s="16" t="s">
        <v>165</v>
      </c>
      <c r="B35" s="6" t="s">
        <v>122</v>
      </c>
      <c r="C35" s="6">
        <v>9.14</v>
      </c>
      <c r="D35" s="6" t="s">
        <v>123</v>
      </c>
      <c r="E35" s="17">
        <f>(9*1.02)</f>
        <v>9.18</v>
      </c>
      <c r="F35" s="17">
        <f>(9*0.98)</f>
        <v>8.82</v>
      </c>
      <c r="G35" s="6" t="str">
        <f t="shared" si="1"/>
        <v>OK</v>
      </c>
      <c r="H35" s="6"/>
    </row>
    <row r="36" spans="1:9" x14ac:dyDescent="0.45">
      <c r="A36" s="16" t="s">
        <v>126</v>
      </c>
      <c r="B36" s="6" t="s">
        <v>122</v>
      </c>
      <c r="C36" s="6">
        <v>9.11</v>
      </c>
      <c r="D36" s="6" t="s">
        <v>123</v>
      </c>
      <c r="E36" s="17">
        <f>(9*1.02)-(E37/1000)</f>
        <v>9.1554113924050622</v>
      </c>
      <c r="F36" s="17">
        <f>(9*0.98)-(E37/1000)</f>
        <v>8.7954113924050628</v>
      </c>
      <c r="G36" s="6" t="str">
        <f t="shared" si="1"/>
        <v>OK</v>
      </c>
      <c r="H36" s="6"/>
    </row>
    <row r="37" spans="1:9" x14ac:dyDescent="0.45">
      <c r="A37" s="16" t="s">
        <v>251</v>
      </c>
      <c r="B37" s="6" t="s">
        <v>122</v>
      </c>
      <c r="C37" s="6">
        <v>22.2</v>
      </c>
      <c r="D37" s="6" t="s">
        <v>130</v>
      </c>
      <c r="E37" s="17">
        <f>(14*(555/395))*1.25</f>
        <v>24.588607594936708</v>
      </c>
      <c r="F37" s="17">
        <f>(14*(555/395))*0.75</f>
        <v>14.753164556962023</v>
      </c>
      <c r="G37" s="6" t="str">
        <f t="shared" si="1"/>
        <v>OK</v>
      </c>
      <c r="H37" s="6"/>
    </row>
    <row r="38" spans="1:9" x14ac:dyDescent="0.45">
      <c r="A38" s="16" t="s">
        <v>127</v>
      </c>
      <c r="B38" s="6" t="s">
        <v>122</v>
      </c>
      <c r="C38" s="6">
        <v>9.11</v>
      </c>
      <c r="D38" s="6" t="s">
        <v>123</v>
      </c>
      <c r="E38" s="17">
        <f>(9*1.02)-(E39/1000)</f>
        <v>9.1560759493670876</v>
      </c>
      <c r="F38" s="17">
        <f>(9*0.98)-(E39/1000)</f>
        <v>8.7960759493670881</v>
      </c>
      <c r="G38" s="6" t="str">
        <f t="shared" si="1"/>
        <v>OK</v>
      </c>
      <c r="H38" s="6"/>
    </row>
    <row r="39" spans="1:9" x14ac:dyDescent="0.45">
      <c r="A39" s="16" t="s">
        <v>252</v>
      </c>
      <c r="B39" s="6" t="s">
        <v>122</v>
      </c>
      <c r="C39" s="6">
        <v>22.2</v>
      </c>
      <c r="D39" s="6" t="s">
        <v>130</v>
      </c>
      <c r="E39" s="17">
        <f>(14*(540/395))*1.25</f>
        <v>23.924050632911392</v>
      </c>
      <c r="F39" s="17">
        <f>(14*(540/395))*0.75</f>
        <v>14.354430379746834</v>
      </c>
      <c r="G39" s="6" t="str">
        <f t="shared" si="1"/>
        <v>OK</v>
      </c>
      <c r="H39" s="6"/>
    </row>
    <row r="40" spans="1:9" x14ac:dyDescent="0.45">
      <c r="A40" s="16" t="s">
        <v>131</v>
      </c>
      <c r="B40" s="6" t="s">
        <v>129</v>
      </c>
      <c r="C40" s="6">
        <v>68</v>
      </c>
      <c r="D40" s="6" t="s">
        <v>130</v>
      </c>
      <c r="E40" s="17">
        <v>200</v>
      </c>
      <c r="F40" s="17">
        <v>20</v>
      </c>
      <c r="G40" s="6" t="str">
        <f t="shared" si="1"/>
        <v>OK</v>
      </c>
      <c r="H40" s="6">
        <v>7</v>
      </c>
    </row>
    <row r="41" spans="1:9" x14ac:dyDescent="0.45">
      <c r="A41" s="16" t="s">
        <v>128</v>
      </c>
      <c r="B41" s="6" t="s">
        <v>129</v>
      </c>
      <c r="C41" s="6">
        <v>8.8000000000000007</v>
      </c>
      <c r="D41" s="6" t="s">
        <v>130</v>
      </c>
      <c r="E41" s="17">
        <v>50</v>
      </c>
      <c r="F41" s="17">
        <v>0</v>
      </c>
      <c r="G41" s="6" t="str">
        <f t="shared" si="1"/>
        <v>OK</v>
      </c>
      <c r="H41" s="6">
        <v>8</v>
      </c>
    </row>
    <row r="42" spans="1:9" x14ac:dyDescent="0.45">
      <c r="A42" s="16" t="s">
        <v>133</v>
      </c>
      <c r="B42" s="6" t="s">
        <v>129</v>
      </c>
      <c r="C42" s="6">
        <v>58.4</v>
      </c>
      <c r="D42" s="6" t="s">
        <v>130</v>
      </c>
      <c r="E42" s="17">
        <v>200</v>
      </c>
      <c r="F42" s="17">
        <v>20</v>
      </c>
      <c r="G42" s="6" t="str">
        <f t="shared" si="1"/>
        <v>OK</v>
      </c>
      <c r="H42" s="6"/>
    </row>
    <row r="43" spans="1:9" x14ac:dyDescent="0.45">
      <c r="A43" s="16" t="s">
        <v>132</v>
      </c>
      <c r="B43" s="6" t="s">
        <v>129</v>
      </c>
      <c r="C43" s="6">
        <v>6</v>
      </c>
      <c r="D43" s="6" t="s">
        <v>130</v>
      </c>
      <c r="E43" s="17">
        <v>50</v>
      </c>
      <c r="F43" s="17">
        <v>0</v>
      </c>
      <c r="G43" s="6" t="str">
        <f t="shared" si="1"/>
        <v>OK</v>
      </c>
      <c r="H43" s="6"/>
    </row>
    <row r="44" spans="1:9" x14ac:dyDescent="0.45">
      <c r="A44" s="16" t="s">
        <v>135</v>
      </c>
      <c r="B44" s="6" t="s">
        <v>129</v>
      </c>
      <c r="C44" s="6">
        <f>(224+144)/2</f>
        <v>184</v>
      </c>
      <c r="D44" s="6" t="s">
        <v>130</v>
      </c>
      <c r="E44" s="17">
        <v>200</v>
      </c>
      <c r="F44" s="17">
        <v>20</v>
      </c>
      <c r="G44" s="6" t="str">
        <f t="shared" si="1"/>
        <v>OK</v>
      </c>
      <c r="H44" s="6">
        <v>10</v>
      </c>
      <c r="I44" s="2" t="s">
        <v>166</v>
      </c>
    </row>
    <row r="45" spans="1:9" x14ac:dyDescent="0.45">
      <c r="A45" s="16" t="s">
        <v>134</v>
      </c>
      <c r="B45" s="6" t="s">
        <v>129</v>
      </c>
      <c r="C45" s="6">
        <v>4.16</v>
      </c>
      <c r="D45" s="6" t="s">
        <v>130</v>
      </c>
      <c r="E45" s="17">
        <v>50</v>
      </c>
      <c r="F45" s="17">
        <v>0</v>
      </c>
      <c r="G45" s="6" t="str">
        <f t="shared" si="1"/>
        <v>OK</v>
      </c>
      <c r="H45" s="6">
        <v>9</v>
      </c>
    </row>
    <row r="46" spans="1:9" x14ac:dyDescent="0.45">
      <c r="A46" s="16" t="s">
        <v>137</v>
      </c>
      <c r="B46" s="6" t="s">
        <v>129</v>
      </c>
      <c r="C46" s="6">
        <v>142</v>
      </c>
      <c r="D46" s="6" t="s">
        <v>130</v>
      </c>
      <c r="E46" s="17">
        <v>200</v>
      </c>
      <c r="F46" s="17">
        <v>20</v>
      </c>
      <c r="G46" s="6" t="str">
        <f t="shared" si="1"/>
        <v>OK</v>
      </c>
      <c r="H46" s="6">
        <v>11</v>
      </c>
    </row>
    <row r="47" spans="1:9" x14ac:dyDescent="0.45">
      <c r="A47" s="16" t="s">
        <v>136</v>
      </c>
      <c r="B47" s="6" t="s">
        <v>129</v>
      </c>
      <c r="C47" s="6">
        <v>31.6</v>
      </c>
      <c r="D47" s="6" t="s">
        <v>130</v>
      </c>
      <c r="E47" s="17">
        <v>50</v>
      </c>
      <c r="F47" s="17">
        <v>0</v>
      </c>
      <c r="G47" s="6" t="str">
        <f t="shared" si="1"/>
        <v>OK</v>
      </c>
      <c r="H47" s="6" t="s">
        <v>169</v>
      </c>
    </row>
    <row r="48" spans="1:9" x14ac:dyDescent="0.45">
      <c r="A48" s="16" t="s">
        <v>138</v>
      </c>
      <c r="B48" s="6" t="s">
        <v>129</v>
      </c>
      <c r="C48" s="6">
        <v>31.6</v>
      </c>
      <c r="D48" s="6" t="s">
        <v>130</v>
      </c>
      <c r="E48" s="17">
        <v>50</v>
      </c>
      <c r="F48" s="17">
        <v>0</v>
      </c>
      <c r="G48" s="6" t="str">
        <f t="shared" si="1"/>
        <v>OK</v>
      </c>
      <c r="H48" s="6"/>
    </row>
    <row r="50" spans="1:8" ht="14.25" customHeight="1" x14ac:dyDescent="0.45">
      <c r="A50" s="72" t="s">
        <v>142</v>
      </c>
      <c r="B50" s="72" t="s">
        <v>109</v>
      </c>
      <c r="C50" s="72" t="s">
        <v>179</v>
      </c>
      <c r="D50" s="72"/>
      <c r="E50" s="72" t="s">
        <v>178</v>
      </c>
      <c r="F50" s="72"/>
      <c r="G50" s="72"/>
      <c r="H50" s="50" t="s">
        <v>129</v>
      </c>
    </row>
    <row r="51" spans="1:8" x14ac:dyDescent="0.45">
      <c r="A51" s="72"/>
      <c r="B51" s="72"/>
      <c r="C51" s="27" t="str">
        <f>C4</f>
        <v>Measure</v>
      </c>
      <c r="D51" s="27" t="s">
        <v>111</v>
      </c>
      <c r="E51" s="27" t="s">
        <v>112</v>
      </c>
      <c r="F51" s="27" t="s">
        <v>113</v>
      </c>
      <c r="G51" s="27" t="s">
        <v>114</v>
      </c>
      <c r="H51" s="27" t="str">
        <f>H4</f>
        <v>Trace</v>
      </c>
    </row>
    <row r="52" spans="1:8" x14ac:dyDescent="0.45">
      <c r="A52" s="16" t="s">
        <v>115</v>
      </c>
      <c r="B52" s="6" t="s">
        <v>116</v>
      </c>
      <c r="C52" s="6">
        <v>238</v>
      </c>
      <c r="D52" s="6" t="s">
        <v>117</v>
      </c>
      <c r="E52" s="6" t="s">
        <v>118</v>
      </c>
      <c r="F52" s="6" t="s">
        <v>118</v>
      </c>
      <c r="G52" s="6" t="s">
        <v>118</v>
      </c>
      <c r="H52" s="6"/>
    </row>
    <row r="53" spans="1:8" x14ac:dyDescent="0.45">
      <c r="A53" s="16" t="s">
        <v>119</v>
      </c>
      <c r="B53" s="6" t="s">
        <v>116</v>
      </c>
      <c r="C53" s="6">
        <v>156</v>
      </c>
      <c r="D53" s="6" t="s">
        <v>120</v>
      </c>
      <c r="E53" s="17">
        <f>((240*120*1.1)/C52)+15</f>
        <v>148.109243697479</v>
      </c>
      <c r="F53" s="17">
        <f>((240*100*0.9)/C52)+15</f>
        <v>105.75630252100841</v>
      </c>
      <c r="G53" s="6" t="str">
        <f t="shared" ref="G53:G72" si="2">IF(ABS(C53)&gt;=ABS(E53),"Unexpected",IF(ABS(C53)&lt;=ABS(F53),"Unexpected","OK"))</f>
        <v>Unexpected</v>
      </c>
      <c r="H53" s="6"/>
    </row>
    <row r="54" spans="1:8" x14ac:dyDescent="0.45">
      <c r="A54" s="16" t="s">
        <v>121</v>
      </c>
      <c r="B54" s="6" t="s">
        <v>122</v>
      </c>
      <c r="C54" s="6">
        <v>14.95</v>
      </c>
      <c r="D54" s="6" t="s">
        <v>123</v>
      </c>
      <c r="E54" s="17">
        <f>(15*1.025)-(C55/1000)</f>
        <v>15.333499999999999</v>
      </c>
      <c r="F54" s="17">
        <f>(15*0.975)-(C55/1000)</f>
        <v>14.583500000000001</v>
      </c>
      <c r="G54" s="6" t="str">
        <f t="shared" si="2"/>
        <v>OK</v>
      </c>
      <c r="H54" s="6"/>
    </row>
    <row r="55" spans="1:8" x14ac:dyDescent="0.45">
      <c r="A55" s="16" t="s">
        <v>139</v>
      </c>
      <c r="B55" s="6" t="s">
        <v>122</v>
      </c>
      <c r="C55" s="6">
        <v>41.5</v>
      </c>
      <c r="D55" s="6" t="s">
        <v>130</v>
      </c>
      <c r="E55" s="17">
        <f>36*1.25</f>
        <v>45</v>
      </c>
      <c r="F55" s="17">
        <f>36*0.75</f>
        <v>27</v>
      </c>
      <c r="G55" s="6" t="str">
        <f t="shared" si="2"/>
        <v>OK</v>
      </c>
      <c r="H55" s="6"/>
    </row>
    <row r="56" spans="1:8" x14ac:dyDescent="0.45">
      <c r="A56" s="16" t="s">
        <v>124</v>
      </c>
      <c r="B56" s="6" t="s">
        <v>122</v>
      </c>
      <c r="C56" s="6">
        <v>-14.98</v>
      </c>
      <c r="D56" s="6" t="s">
        <v>123</v>
      </c>
      <c r="E56" s="17">
        <f>(-15*1.02)+(C57/1000)</f>
        <v>-15.254700000000001</v>
      </c>
      <c r="F56" s="17">
        <f>(-15*0.98)+(C57/1000)</f>
        <v>-14.6547</v>
      </c>
      <c r="G56" s="6" t="str">
        <f t="shared" si="2"/>
        <v>OK</v>
      </c>
      <c r="H56" s="6"/>
    </row>
    <row r="57" spans="1:8" x14ac:dyDescent="0.45">
      <c r="A57" s="16" t="s">
        <v>140</v>
      </c>
      <c r="B57" s="6" t="s">
        <v>122</v>
      </c>
      <c r="C57" s="6">
        <v>45.3</v>
      </c>
      <c r="D57" s="6" t="s">
        <v>130</v>
      </c>
      <c r="E57" s="17">
        <f>36*1.25</f>
        <v>45</v>
      </c>
      <c r="F57" s="17">
        <f>36*0.75</f>
        <v>27</v>
      </c>
      <c r="G57" s="6" t="str">
        <f t="shared" si="2"/>
        <v>Unexpected</v>
      </c>
      <c r="H57" s="6"/>
    </row>
    <row r="58" spans="1:8" x14ac:dyDescent="0.45">
      <c r="A58" s="16" t="s">
        <v>125</v>
      </c>
      <c r="B58" s="6" t="s">
        <v>122</v>
      </c>
      <c r="C58" s="6">
        <v>4.9400000000000004</v>
      </c>
      <c r="D58" s="6" t="s">
        <v>123</v>
      </c>
      <c r="E58" s="17">
        <f>(5*1.025)-(E59/1000)</f>
        <v>5.09</v>
      </c>
      <c r="F58" s="17">
        <f>(5*0.975)-(C59/1000)</f>
        <v>4.8478000000000003</v>
      </c>
      <c r="G58" s="6" t="str">
        <f t="shared" si="2"/>
        <v>OK</v>
      </c>
      <c r="H58" s="6"/>
    </row>
    <row r="59" spans="1:8" x14ac:dyDescent="0.45">
      <c r="A59" s="16" t="s">
        <v>141</v>
      </c>
      <c r="B59" s="6" t="s">
        <v>122</v>
      </c>
      <c r="C59" s="6">
        <v>27.2</v>
      </c>
      <c r="D59" s="6" t="s">
        <v>130</v>
      </c>
      <c r="E59" s="17">
        <f>28*1.25</f>
        <v>35</v>
      </c>
      <c r="F59" s="17">
        <f>28*0.75</f>
        <v>21</v>
      </c>
      <c r="G59" s="6" t="str">
        <f t="shared" si="2"/>
        <v>OK</v>
      </c>
      <c r="H59" s="6"/>
    </row>
    <row r="60" spans="1:8" x14ac:dyDescent="0.45">
      <c r="A60" s="16" t="s">
        <v>126</v>
      </c>
      <c r="B60" s="6" t="s">
        <v>122</v>
      </c>
      <c r="C60" s="6">
        <v>9.08</v>
      </c>
      <c r="D60" s="6" t="s">
        <v>123</v>
      </c>
      <c r="E60" s="17">
        <f>(9*1.02)-(E61/1000)</f>
        <v>9.1762499999999996</v>
      </c>
      <c r="F60" s="17">
        <f>(9*0.98)-(E61/1000)</f>
        <v>8.8162500000000001</v>
      </c>
      <c r="G60" s="6" t="str">
        <f t="shared" si="2"/>
        <v>OK</v>
      </c>
      <c r="H60" s="6"/>
    </row>
    <row r="61" spans="1:8" x14ac:dyDescent="0.45">
      <c r="A61" s="16" t="s">
        <v>143</v>
      </c>
      <c r="B61" s="6" t="s">
        <v>122</v>
      </c>
      <c r="C61" s="6">
        <v>1.9</v>
      </c>
      <c r="D61" s="6" t="s">
        <v>130</v>
      </c>
      <c r="E61" s="17">
        <f>3*1.25</f>
        <v>3.75</v>
      </c>
      <c r="F61" s="17">
        <v>0</v>
      </c>
      <c r="G61" s="6" t="str">
        <f t="shared" si="2"/>
        <v>OK</v>
      </c>
      <c r="H61" s="6"/>
    </row>
    <row r="62" spans="1:8" x14ac:dyDescent="0.45">
      <c r="A62" s="16" t="s">
        <v>127</v>
      </c>
      <c r="B62" s="6" t="s">
        <v>122</v>
      </c>
      <c r="C62" s="6">
        <v>9.06</v>
      </c>
      <c r="D62" s="6" t="s">
        <v>123</v>
      </c>
      <c r="E62" s="17">
        <f>(9*1.02)-(E63/1000)</f>
        <v>9.1624999999999996</v>
      </c>
      <c r="F62" s="17">
        <f>(9*0.98)-(E63/1000)</f>
        <v>8.8025000000000002</v>
      </c>
      <c r="G62" s="6" t="str">
        <f t="shared" si="2"/>
        <v>OK</v>
      </c>
      <c r="H62" s="6"/>
    </row>
    <row r="63" spans="1:8" x14ac:dyDescent="0.45">
      <c r="A63" s="16" t="s">
        <v>144</v>
      </c>
      <c r="B63" s="6" t="s">
        <v>122</v>
      </c>
      <c r="C63" s="6">
        <v>12.6</v>
      </c>
      <c r="D63" s="6" t="s">
        <v>130</v>
      </c>
      <c r="E63" s="17">
        <f>14*1.25</f>
        <v>17.5</v>
      </c>
      <c r="F63" s="17">
        <f>14*0.75</f>
        <v>10.5</v>
      </c>
      <c r="G63" s="6" t="str">
        <f t="shared" si="2"/>
        <v>OK</v>
      </c>
      <c r="H63" s="6"/>
    </row>
    <row r="64" spans="1:8" x14ac:dyDescent="0.45">
      <c r="A64" s="16" t="s">
        <v>128</v>
      </c>
      <c r="B64" s="6" t="s">
        <v>129</v>
      </c>
      <c r="C64" s="6">
        <v>25.2</v>
      </c>
      <c r="D64" s="6" t="s">
        <v>130</v>
      </c>
      <c r="E64" s="17">
        <v>50</v>
      </c>
      <c r="F64" s="17">
        <v>0</v>
      </c>
      <c r="G64" s="6" t="str">
        <f t="shared" si="2"/>
        <v>OK</v>
      </c>
      <c r="H64" s="6">
        <v>14</v>
      </c>
    </row>
    <row r="65" spans="1:9" x14ac:dyDescent="0.45">
      <c r="A65" s="16" t="s">
        <v>131</v>
      </c>
      <c r="B65" s="6" t="s">
        <v>129</v>
      </c>
      <c r="C65" s="6">
        <v>40.799999999999997</v>
      </c>
      <c r="D65" s="6" t="s">
        <v>130</v>
      </c>
      <c r="E65" s="17">
        <v>200</v>
      </c>
      <c r="F65" s="17">
        <v>20</v>
      </c>
      <c r="G65" s="6" t="str">
        <f t="shared" si="2"/>
        <v>OK</v>
      </c>
      <c r="H65" s="6" t="s">
        <v>233</v>
      </c>
    </row>
    <row r="66" spans="1:9" x14ac:dyDescent="0.45">
      <c r="A66" s="16" t="s">
        <v>132</v>
      </c>
      <c r="B66" s="6" t="s">
        <v>129</v>
      </c>
      <c r="C66" s="6">
        <v>18</v>
      </c>
      <c r="D66" s="6" t="s">
        <v>130</v>
      </c>
      <c r="E66" s="17">
        <v>50</v>
      </c>
      <c r="F66" s="17">
        <v>0</v>
      </c>
      <c r="G66" s="6" t="str">
        <f t="shared" si="2"/>
        <v>OK</v>
      </c>
      <c r="H66" s="6"/>
    </row>
    <row r="67" spans="1:9" x14ac:dyDescent="0.45">
      <c r="A67" s="16" t="s">
        <v>133</v>
      </c>
      <c r="B67" s="6" t="s">
        <v>129</v>
      </c>
      <c r="C67" s="6">
        <v>33.6</v>
      </c>
      <c r="D67" s="6" t="s">
        <v>130</v>
      </c>
      <c r="E67" s="17">
        <v>200</v>
      </c>
      <c r="F67" s="17">
        <v>20</v>
      </c>
      <c r="G67" s="6" t="str">
        <f t="shared" si="2"/>
        <v>OK</v>
      </c>
      <c r="H67" s="6"/>
    </row>
    <row r="68" spans="1:9" x14ac:dyDescent="0.45">
      <c r="A68" s="16" t="s">
        <v>134</v>
      </c>
      <c r="B68" s="6" t="s">
        <v>129</v>
      </c>
      <c r="C68" s="6">
        <v>34</v>
      </c>
      <c r="D68" s="6" t="s">
        <v>130</v>
      </c>
      <c r="E68" s="17">
        <v>50</v>
      </c>
      <c r="F68" s="17">
        <v>0</v>
      </c>
      <c r="G68" s="6" t="str">
        <f t="shared" si="2"/>
        <v>OK</v>
      </c>
      <c r="H68" s="6">
        <v>17</v>
      </c>
    </row>
    <row r="69" spans="1:9" x14ac:dyDescent="0.45">
      <c r="A69" s="16" t="s">
        <v>135</v>
      </c>
      <c r="B69" s="6" t="s">
        <v>129</v>
      </c>
      <c r="C69" s="6">
        <v>88</v>
      </c>
      <c r="D69" s="6" t="s">
        <v>130</v>
      </c>
      <c r="E69" s="17">
        <v>200</v>
      </c>
      <c r="F69" s="17">
        <v>20</v>
      </c>
      <c r="G69" s="6" t="str">
        <f t="shared" si="2"/>
        <v>OK</v>
      </c>
      <c r="H69" s="6" t="s">
        <v>234</v>
      </c>
    </row>
    <row r="70" spans="1:9" x14ac:dyDescent="0.45">
      <c r="A70" s="16" t="s">
        <v>136</v>
      </c>
      <c r="B70" s="6" t="s">
        <v>129</v>
      </c>
      <c r="C70" s="6">
        <v>43.2</v>
      </c>
      <c r="D70" s="6" t="s">
        <v>130</v>
      </c>
      <c r="E70" s="17">
        <v>50</v>
      </c>
      <c r="F70" s="17">
        <v>0</v>
      </c>
      <c r="G70" s="6" t="str">
        <f t="shared" si="2"/>
        <v>OK</v>
      </c>
      <c r="H70" s="6"/>
    </row>
    <row r="71" spans="1:9" x14ac:dyDescent="0.45">
      <c r="A71" s="16" t="s">
        <v>137</v>
      </c>
      <c r="B71" s="6" t="s">
        <v>129</v>
      </c>
      <c r="C71" s="6">
        <v>154</v>
      </c>
      <c r="D71" s="6" t="s">
        <v>130</v>
      </c>
      <c r="E71" s="17">
        <v>200</v>
      </c>
      <c r="F71" s="17">
        <v>20</v>
      </c>
      <c r="G71" s="6" t="str">
        <f t="shared" si="2"/>
        <v>OK</v>
      </c>
      <c r="H71" s="6" t="s">
        <v>235</v>
      </c>
    </row>
    <row r="72" spans="1:9" x14ac:dyDescent="0.45">
      <c r="A72" s="16" t="s">
        <v>138</v>
      </c>
      <c r="B72" s="6" t="s">
        <v>129</v>
      </c>
      <c r="C72" s="6">
        <v>55.2</v>
      </c>
      <c r="D72" s="6" t="s">
        <v>130</v>
      </c>
      <c r="E72" s="17">
        <v>200</v>
      </c>
      <c r="F72" s="17">
        <v>0</v>
      </c>
      <c r="G72" s="6" t="str">
        <f t="shared" si="2"/>
        <v>OK</v>
      </c>
      <c r="H72" s="6" t="s">
        <v>236</v>
      </c>
    </row>
    <row r="73" spans="1:9" x14ac:dyDescent="0.45">
      <c r="A73" s="83" t="s">
        <v>145</v>
      </c>
      <c r="B73" s="84"/>
      <c r="C73" s="84"/>
      <c r="D73" s="84"/>
      <c r="E73" s="84"/>
      <c r="F73" s="84"/>
      <c r="G73" s="84"/>
      <c r="H73" s="85"/>
    </row>
    <row r="75" spans="1:9" x14ac:dyDescent="0.45">
      <c r="A75" s="72" t="s">
        <v>164</v>
      </c>
      <c r="B75" s="72"/>
      <c r="C75" s="72"/>
      <c r="D75" s="72"/>
      <c r="E75" s="72"/>
      <c r="F75" s="72"/>
    </row>
    <row r="76" spans="1:9" s="14" customFormat="1" ht="20.25" x14ac:dyDescent="0.45">
      <c r="A76" s="20" t="s">
        <v>215</v>
      </c>
      <c r="B76" s="35" t="s">
        <v>172</v>
      </c>
      <c r="C76" s="35" t="s">
        <v>175</v>
      </c>
      <c r="D76" s="4" t="s">
        <v>173</v>
      </c>
      <c r="E76" s="35" t="s">
        <v>171</v>
      </c>
      <c r="F76" s="4" t="s">
        <v>184</v>
      </c>
      <c r="G76" s="11"/>
      <c r="H76" s="11"/>
      <c r="I76" s="11"/>
    </row>
    <row r="77" spans="1:9" s="39" customFormat="1" x14ac:dyDescent="0.45">
      <c r="A77" s="77" t="s">
        <v>181</v>
      </c>
      <c r="B77" s="77"/>
      <c r="C77" s="77"/>
      <c r="D77" s="77"/>
      <c r="E77" s="77"/>
      <c r="F77" s="77"/>
      <c r="G77" s="38"/>
      <c r="H77" s="38"/>
      <c r="I77" s="38"/>
    </row>
    <row r="78" spans="1:9" ht="21" customHeight="1" x14ac:dyDescent="0.45">
      <c r="A78" s="40" t="s">
        <v>34</v>
      </c>
      <c r="B78" s="6" t="s">
        <v>167</v>
      </c>
      <c r="C78" s="6">
        <v>22.5</v>
      </c>
      <c r="D78" s="6">
        <v>57.5</v>
      </c>
      <c r="E78" s="37">
        <f>D78-C78</f>
        <v>35</v>
      </c>
      <c r="F78" s="37">
        <f>E78+35</f>
        <v>70</v>
      </c>
    </row>
    <row r="79" spans="1:9" ht="21" customHeight="1" x14ac:dyDescent="0.45">
      <c r="A79" s="40" t="s">
        <v>34</v>
      </c>
      <c r="B79" s="6" t="s">
        <v>170</v>
      </c>
      <c r="C79" s="6">
        <v>22.5</v>
      </c>
      <c r="D79" s="6">
        <v>54.5</v>
      </c>
      <c r="E79" s="37">
        <f>D79-C79</f>
        <v>32</v>
      </c>
      <c r="F79" s="37">
        <f t="shared" ref="F79:F82" si="3">E79+35</f>
        <v>67</v>
      </c>
    </row>
    <row r="80" spans="1:9" ht="21" customHeight="1" x14ac:dyDescent="0.45">
      <c r="A80" s="40" t="s">
        <v>70</v>
      </c>
      <c r="B80" s="6" t="s">
        <v>167</v>
      </c>
      <c r="C80" s="6">
        <v>22.5</v>
      </c>
      <c r="D80" s="6">
        <v>53.5</v>
      </c>
      <c r="E80" s="37">
        <f>D80-C80</f>
        <v>31</v>
      </c>
      <c r="F80" s="37">
        <f t="shared" si="3"/>
        <v>66</v>
      </c>
    </row>
    <row r="81" spans="1:9" ht="21" customHeight="1" x14ac:dyDescent="0.45">
      <c r="A81" s="40" t="s">
        <v>71</v>
      </c>
      <c r="B81" s="6" t="s">
        <v>170</v>
      </c>
      <c r="C81" s="6">
        <v>22.5</v>
      </c>
      <c r="D81" s="6">
        <v>46</v>
      </c>
      <c r="E81" s="37">
        <f>D81-C81</f>
        <v>23.5</v>
      </c>
      <c r="F81" s="37">
        <f t="shared" si="3"/>
        <v>58.5</v>
      </c>
    </row>
    <row r="82" spans="1:9" ht="21" customHeight="1" x14ac:dyDescent="0.45">
      <c r="A82" s="40" t="s">
        <v>40</v>
      </c>
      <c r="B82" s="6" t="s">
        <v>167</v>
      </c>
      <c r="C82" s="6">
        <v>22.5</v>
      </c>
      <c r="D82" s="6">
        <v>37.5</v>
      </c>
      <c r="E82" s="37">
        <f>D82-C82</f>
        <v>15</v>
      </c>
      <c r="F82" s="37">
        <f t="shared" si="3"/>
        <v>50</v>
      </c>
    </row>
    <row r="84" spans="1:9" x14ac:dyDescent="0.45">
      <c r="A84" s="72" t="s">
        <v>180</v>
      </c>
      <c r="B84" s="72"/>
      <c r="C84" s="72"/>
      <c r="D84" s="72"/>
      <c r="E84" s="72"/>
      <c r="F84" s="72"/>
    </row>
    <row r="85" spans="1:9" s="14" customFormat="1" ht="20.25" x14ac:dyDescent="0.45">
      <c r="A85" s="20" t="s">
        <v>215</v>
      </c>
      <c r="B85" s="35" t="s">
        <v>172</v>
      </c>
      <c r="C85" s="35" t="s">
        <v>175</v>
      </c>
      <c r="D85" s="4" t="s">
        <v>173</v>
      </c>
      <c r="E85" s="4" t="s">
        <v>185</v>
      </c>
      <c r="F85" s="4" t="s">
        <v>184</v>
      </c>
      <c r="G85" s="11"/>
      <c r="H85" s="11"/>
      <c r="I85" s="11"/>
    </row>
    <row r="86" spans="1:9" s="39" customFormat="1" x14ac:dyDescent="0.45">
      <c r="A86" s="77" t="s">
        <v>181</v>
      </c>
      <c r="B86" s="77"/>
      <c r="C86" s="77"/>
      <c r="D86" s="77"/>
      <c r="E86" s="77"/>
      <c r="F86" s="77"/>
      <c r="G86" s="38"/>
      <c r="H86" s="38"/>
      <c r="I86" s="38"/>
    </row>
    <row r="87" spans="1:9" x14ac:dyDescent="0.45">
      <c r="A87" s="40" t="s">
        <v>34</v>
      </c>
      <c r="B87" s="6" t="s">
        <v>167</v>
      </c>
      <c r="C87" s="6">
        <v>22</v>
      </c>
      <c r="D87" s="6">
        <v>44.5</v>
      </c>
      <c r="E87" s="37">
        <f>D87-C87</f>
        <v>22.5</v>
      </c>
      <c r="F87" s="37">
        <f>E87+35</f>
        <v>57.5</v>
      </c>
    </row>
    <row r="88" spans="1:9" x14ac:dyDescent="0.45">
      <c r="A88" s="40" t="s">
        <v>70</v>
      </c>
      <c r="B88" s="6" t="s">
        <v>167</v>
      </c>
      <c r="C88" s="6">
        <v>22.5</v>
      </c>
      <c r="D88" s="6">
        <v>44.5</v>
      </c>
      <c r="E88" s="37">
        <f>D88-C88</f>
        <v>22</v>
      </c>
      <c r="F88" s="37">
        <f t="shared" ref="F88:F90" si="4">E88+35</f>
        <v>57</v>
      </c>
    </row>
    <row r="89" spans="1:9" x14ac:dyDescent="0.45">
      <c r="A89" s="40" t="s">
        <v>71</v>
      </c>
      <c r="B89" s="6" t="s">
        <v>167</v>
      </c>
      <c r="C89" s="6">
        <v>22.5</v>
      </c>
      <c r="D89" s="6">
        <v>45.5</v>
      </c>
      <c r="E89" s="37">
        <f>D89-C89</f>
        <v>23</v>
      </c>
      <c r="F89" s="37">
        <f t="shared" si="4"/>
        <v>58</v>
      </c>
    </row>
    <row r="90" spans="1:9" x14ac:dyDescent="0.45">
      <c r="A90" s="40" t="s">
        <v>40</v>
      </c>
      <c r="B90" s="6" t="s">
        <v>167</v>
      </c>
      <c r="C90" s="6">
        <v>22.5</v>
      </c>
      <c r="D90" s="6">
        <v>42</v>
      </c>
      <c r="E90" s="37">
        <f>D90-C90</f>
        <v>19.5</v>
      </c>
      <c r="F90" s="37">
        <f t="shared" si="4"/>
        <v>54.5</v>
      </c>
    </row>
    <row r="91" spans="1:9" s="39" customFormat="1" x14ac:dyDescent="0.45">
      <c r="A91" s="77" t="s">
        <v>182</v>
      </c>
      <c r="B91" s="77"/>
      <c r="C91" s="77"/>
      <c r="D91" s="77"/>
      <c r="E91" s="77"/>
      <c r="F91" s="77"/>
      <c r="G91" s="38"/>
      <c r="H91" s="38"/>
      <c r="I91" s="38"/>
    </row>
    <row r="92" spans="1:9" x14ac:dyDescent="0.45">
      <c r="A92" s="40" t="s">
        <v>34</v>
      </c>
      <c r="B92" s="6" t="s">
        <v>167</v>
      </c>
      <c r="C92" s="6">
        <v>20.5</v>
      </c>
      <c r="D92" s="6">
        <v>45.5</v>
      </c>
      <c r="E92" s="37">
        <f>D92-C92</f>
        <v>25</v>
      </c>
      <c r="F92" s="37">
        <f>E92+35</f>
        <v>60</v>
      </c>
    </row>
    <row r="93" spans="1:9" x14ac:dyDescent="0.45">
      <c r="A93" s="40" t="s">
        <v>70</v>
      </c>
      <c r="B93" s="6" t="s">
        <v>167</v>
      </c>
      <c r="C93" s="6">
        <v>20.5</v>
      </c>
      <c r="D93" s="6">
        <v>48.5</v>
      </c>
      <c r="E93" s="37">
        <f>D93-C93</f>
        <v>28</v>
      </c>
      <c r="F93" s="37">
        <f t="shared" ref="F93:F95" si="5">E93+35</f>
        <v>63</v>
      </c>
    </row>
    <row r="94" spans="1:9" x14ac:dyDescent="0.45">
      <c r="A94" s="40" t="s">
        <v>71</v>
      </c>
      <c r="B94" s="6" t="s">
        <v>167</v>
      </c>
      <c r="C94" s="6">
        <v>20.5</v>
      </c>
      <c r="D94" s="6">
        <v>47</v>
      </c>
      <c r="E94" s="37">
        <f>D94-C94</f>
        <v>26.5</v>
      </c>
      <c r="F94" s="37">
        <f t="shared" si="5"/>
        <v>61.5</v>
      </c>
    </row>
    <row r="95" spans="1:9" x14ac:dyDescent="0.45">
      <c r="A95" s="40" t="s">
        <v>40</v>
      </c>
      <c r="B95" s="6" t="s">
        <v>167</v>
      </c>
      <c r="C95" s="6">
        <v>20</v>
      </c>
      <c r="D95" s="6">
        <v>43</v>
      </c>
      <c r="E95" s="37">
        <f>D95-C95</f>
        <v>23</v>
      </c>
      <c r="F95" s="37">
        <f t="shared" si="5"/>
        <v>58</v>
      </c>
    </row>
    <row r="97" spans="1:9" x14ac:dyDescent="0.45">
      <c r="A97" s="72" t="s">
        <v>186</v>
      </c>
      <c r="B97" s="72"/>
      <c r="C97" s="72"/>
      <c r="D97" s="72"/>
      <c r="E97" s="72"/>
      <c r="F97" s="72"/>
    </row>
    <row r="98" spans="1:9" ht="20.25" x14ac:dyDescent="0.45">
      <c r="A98" s="20" t="s">
        <v>174</v>
      </c>
      <c r="B98" s="35" t="s">
        <v>172</v>
      </c>
      <c r="C98" s="35" t="s">
        <v>183</v>
      </c>
      <c r="D98" s="35" t="s">
        <v>175</v>
      </c>
      <c r="E98" s="4" t="s">
        <v>173</v>
      </c>
      <c r="F98" s="4" t="s">
        <v>185</v>
      </c>
    </row>
    <row r="99" spans="1:9" ht="20.25" x14ac:dyDescent="0.45">
      <c r="A99" s="16" t="s">
        <v>210</v>
      </c>
      <c r="B99" s="42" t="s">
        <v>209</v>
      </c>
      <c r="C99" s="6">
        <v>1</v>
      </c>
      <c r="D99" s="6">
        <v>22.5</v>
      </c>
      <c r="E99" s="6">
        <v>29</v>
      </c>
      <c r="F99" s="6">
        <f>E99-D99</f>
        <v>6.5</v>
      </c>
    </row>
    <row r="100" spans="1:9" ht="30.4" x14ac:dyDescent="0.45">
      <c r="A100" s="52" t="s">
        <v>214</v>
      </c>
      <c r="B100" s="6" t="s">
        <v>211</v>
      </c>
      <c r="C100" s="6">
        <v>2</v>
      </c>
      <c r="D100" s="6">
        <v>22.5</v>
      </c>
      <c r="E100" s="6">
        <v>29</v>
      </c>
      <c r="F100" s="6">
        <f>E100-D100</f>
        <v>6.5</v>
      </c>
    </row>
    <row r="102" spans="1:9" x14ac:dyDescent="0.45">
      <c r="A102" s="72" t="s">
        <v>212</v>
      </c>
      <c r="B102" s="72"/>
      <c r="C102" s="72"/>
      <c r="D102" s="72"/>
      <c r="E102" s="72"/>
      <c r="F102" s="72"/>
    </row>
    <row r="103" spans="1:9" ht="20.25" x14ac:dyDescent="0.45">
      <c r="A103" s="20" t="s">
        <v>174</v>
      </c>
      <c r="B103" s="41" t="s">
        <v>172</v>
      </c>
      <c r="C103" s="41" t="s">
        <v>183</v>
      </c>
      <c r="D103" s="41" t="s">
        <v>175</v>
      </c>
      <c r="E103" s="4" t="s">
        <v>173</v>
      </c>
      <c r="F103" s="4" t="s">
        <v>185</v>
      </c>
    </row>
    <row r="104" spans="1:9" ht="30.4" x14ac:dyDescent="0.45">
      <c r="A104" s="52" t="s">
        <v>213</v>
      </c>
      <c r="B104" s="6" t="s">
        <v>211</v>
      </c>
      <c r="C104" s="6">
        <v>2</v>
      </c>
      <c r="D104" s="6">
        <v>22.5</v>
      </c>
      <c r="E104" s="6">
        <v>34</v>
      </c>
      <c r="F104" s="6">
        <f>E104-D104</f>
        <v>11.5</v>
      </c>
    </row>
    <row r="109" spans="1:9" ht="13.15" x14ac:dyDescent="0.45">
      <c r="A109" s="21" t="s">
        <v>216</v>
      </c>
      <c r="B109" s="13"/>
      <c r="D109" s="13"/>
      <c r="E109" s="13"/>
      <c r="F109" s="13"/>
      <c r="G109" s="13"/>
      <c r="H109" s="13"/>
      <c r="I109" s="13"/>
    </row>
    <row r="110" spans="1:9" x14ac:dyDescent="0.45">
      <c r="B110" s="13"/>
      <c r="D110" s="13"/>
      <c r="E110" s="13"/>
      <c r="F110" s="13"/>
      <c r="G110" s="13"/>
      <c r="H110" s="13"/>
      <c r="I110" s="13"/>
    </row>
    <row r="111" spans="1:9" x14ac:dyDescent="0.45">
      <c r="A111" s="72" t="s">
        <v>203</v>
      </c>
      <c r="B111" s="72"/>
      <c r="C111" s="72"/>
      <c r="D111" s="13"/>
      <c r="E111" s="13"/>
      <c r="F111" s="13"/>
      <c r="G111" s="13"/>
      <c r="H111" s="13"/>
      <c r="I111" s="13"/>
    </row>
    <row r="112" spans="1:9" ht="40.5" x14ac:dyDescent="0.45">
      <c r="A112" s="72" t="s">
        <v>204</v>
      </c>
      <c r="B112" s="72"/>
      <c r="C112" s="4" t="s">
        <v>208</v>
      </c>
      <c r="D112" s="13"/>
      <c r="E112" s="13"/>
      <c r="F112" s="13"/>
      <c r="G112" s="13"/>
      <c r="H112" s="13"/>
      <c r="I112" s="13"/>
    </row>
    <row r="113" spans="1:24" x14ac:dyDescent="0.45">
      <c r="A113" s="71" t="s">
        <v>229</v>
      </c>
      <c r="B113" s="71"/>
      <c r="C113" s="6">
        <v>0.2</v>
      </c>
      <c r="D113" s="13"/>
      <c r="E113" s="13"/>
      <c r="F113" s="13"/>
      <c r="G113" s="13"/>
      <c r="H113" s="13"/>
      <c r="I113" s="13"/>
    </row>
    <row r="114" spans="1:24" x14ac:dyDescent="0.45">
      <c r="A114" s="71" t="s">
        <v>228</v>
      </c>
      <c r="B114" s="71"/>
      <c r="C114" s="6">
        <v>0.28299999999999997</v>
      </c>
      <c r="D114" s="13"/>
      <c r="E114" s="13"/>
      <c r="F114" s="13"/>
      <c r="G114" s="13"/>
      <c r="H114" s="13"/>
      <c r="I114" s="13"/>
    </row>
    <row r="115" spans="1:24" x14ac:dyDescent="0.45">
      <c r="A115" s="47"/>
      <c r="B115" s="47"/>
      <c r="C115" s="48"/>
      <c r="D115" s="13"/>
      <c r="E115" s="13"/>
      <c r="F115" s="13"/>
      <c r="G115" s="13"/>
      <c r="H115" s="13"/>
      <c r="I115" s="13"/>
    </row>
    <row r="116" spans="1:24" x14ac:dyDescent="0.45">
      <c r="A116" s="72" t="s">
        <v>205</v>
      </c>
      <c r="B116" s="72"/>
      <c r="C116" s="72"/>
      <c r="D116" s="13"/>
      <c r="E116" s="49"/>
      <c r="F116" s="49"/>
      <c r="G116" s="49"/>
      <c r="H116" s="13"/>
      <c r="I116" s="13"/>
    </row>
    <row r="117" spans="1:24" ht="79.900000000000006" customHeight="1" x14ac:dyDescent="0.45">
      <c r="A117" s="86" t="s">
        <v>239</v>
      </c>
      <c r="B117" s="86"/>
      <c r="C117" s="86"/>
      <c r="D117" s="13"/>
      <c r="E117" s="13"/>
      <c r="F117" s="13"/>
      <c r="G117" s="13"/>
      <c r="H117" s="13"/>
      <c r="I117" s="13"/>
    </row>
    <row r="122" spans="1:24" ht="13.15" x14ac:dyDescent="0.45">
      <c r="A122" s="21" t="s">
        <v>218</v>
      </c>
    </row>
    <row r="124" spans="1:24" s="2" customFormat="1" x14ac:dyDescent="0.45">
      <c r="A124" s="16" t="s">
        <v>64</v>
      </c>
      <c r="B124" s="6" t="s">
        <v>65</v>
      </c>
      <c r="C124" s="13"/>
      <c r="D124" s="13"/>
      <c r="E124" s="13"/>
      <c r="F124" s="13"/>
      <c r="G124" s="13"/>
      <c r="H124" s="13"/>
      <c r="I124" s="13"/>
      <c r="J124" s="13"/>
    </row>
    <row r="125" spans="1:24" s="2" customFormat="1" x14ac:dyDescent="0.45">
      <c r="A125" s="16" t="s">
        <v>66</v>
      </c>
      <c r="B125" s="6" t="s">
        <v>82</v>
      </c>
      <c r="C125" s="13"/>
      <c r="D125" s="13"/>
      <c r="E125" s="13"/>
      <c r="F125" s="13"/>
      <c r="G125" s="13"/>
      <c r="H125" s="13"/>
      <c r="I125" s="13"/>
      <c r="J125" s="13"/>
    </row>
    <row r="126" spans="1:24" s="2" customFormat="1" x14ac:dyDescent="0.45">
      <c r="A126" s="16" t="s">
        <v>50</v>
      </c>
      <c r="B126" s="6" t="s">
        <v>79</v>
      </c>
      <c r="C126" s="13"/>
      <c r="D126" s="13"/>
      <c r="E126" s="13"/>
      <c r="F126" s="13"/>
      <c r="G126" s="13"/>
      <c r="H126" s="13"/>
      <c r="I126" s="13"/>
      <c r="J126" s="13"/>
    </row>
    <row r="127" spans="1:24" s="2" customFormat="1" x14ac:dyDescent="0.45">
      <c r="A127" s="16" t="s">
        <v>153</v>
      </c>
      <c r="B127" s="6" t="s">
        <v>146</v>
      </c>
      <c r="C127" s="13"/>
      <c r="D127" s="13"/>
      <c r="E127" s="13"/>
      <c r="F127" s="13"/>
      <c r="G127" s="13"/>
      <c r="H127" s="13"/>
      <c r="I127" s="13"/>
      <c r="J127" s="13"/>
    </row>
    <row r="128" spans="1:24" ht="30" customHeight="1" x14ac:dyDescent="0.45">
      <c r="A128" s="81" t="s">
        <v>225</v>
      </c>
      <c r="B128" s="82"/>
      <c r="C128" s="13"/>
      <c r="D128" s="13"/>
      <c r="E128" s="13"/>
      <c r="F128" s="13"/>
      <c r="G128" s="13"/>
      <c r="H128" s="13"/>
      <c r="I128" s="13"/>
      <c r="K128" s="2"/>
      <c r="L128" s="2"/>
      <c r="M128" s="2"/>
      <c r="N128" s="2"/>
      <c r="O128" s="2"/>
      <c r="P128" s="2"/>
      <c r="Q128" s="2"/>
      <c r="R128" s="2"/>
      <c r="S128" s="2"/>
      <c r="T128" s="2"/>
      <c r="U128" s="2"/>
      <c r="V128" s="2"/>
      <c r="W128" s="2"/>
      <c r="X128" s="2"/>
    </row>
    <row r="129" spans="1:24" s="2" customFormat="1" x14ac:dyDescent="0.45">
      <c r="A129" s="16" t="s">
        <v>154</v>
      </c>
      <c r="B129" s="6" t="s">
        <v>78</v>
      </c>
      <c r="C129" s="13"/>
      <c r="D129" s="13"/>
      <c r="E129" s="13"/>
      <c r="F129" s="13"/>
      <c r="G129" s="13"/>
      <c r="H129" s="13"/>
      <c r="I129" s="13"/>
      <c r="J129" s="13"/>
    </row>
    <row r="130" spans="1:24" ht="45.75" customHeight="1" x14ac:dyDescent="0.45">
      <c r="A130" s="81" t="s">
        <v>219</v>
      </c>
      <c r="B130" s="82"/>
      <c r="C130" s="13"/>
      <c r="D130" s="13"/>
      <c r="E130" s="13"/>
      <c r="F130" s="13"/>
      <c r="G130" s="13"/>
      <c r="H130" s="13"/>
      <c r="I130" s="13"/>
      <c r="K130" s="2"/>
      <c r="L130" s="2"/>
      <c r="M130" s="2"/>
      <c r="N130" s="2"/>
      <c r="O130" s="2"/>
      <c r="P130" s="2"/>
      <c r="Q130" s="2"/>
      <c r="R130" s="2"/>
      <c r="S130" s="2"/>
      <c r="T130" s="2"/>
      <c r="U130" s="2"/>
      <c r="V130" s="2"/>
      <c r="W130" s="2"/>
      <c r="X130" s="2"/>
    </row>
    <row r="132" spans="1:24" s="2" customFormat="1" x14ac:dyDescent="0.45">
      <c r="A132" s="16" t="s">
        <v>64</v>
      </c>
      <c r="B132" s="6" t="s">
        <v>220</v>
      </c>
      <c r="C132" s="13"/>
      <c r="D132" s="13"/>
      <c r="E132" s="13"/>
      <c r="F132" s="13"/>
      <c r="G132" s="13"/>
      <c r="H132" s="13"/>
      <c r="I132" s="13"/>
      <c r="J132" s="13"/>
    </row>
    <row r="133" spans="1:24" s="2" customFormat="1" x14ac:dyDescent="0.45">
      <c r="A133" s="16" t="s">
        <v>66</v>
      </c>
      <c r="B133" s="6" t="s">
        <v>221</v>
      </c>
      <c r="C133" s="13"/>
      <c r="D133" s="13"/>
      <c r="E133" s="13"/>
      <c r="F133" s="13"/>
      <c r="G133" s="13"/>
      <c r="H133" s="13"/>
      <c r="I133" s="13"/>
      <c r="J133" s="13"/>
    </row>
    <row r="134" spans="1:24" s="2" customFormat="1" x14ac:dyDescent="0.45">
      <c r="A134" s="16" t="s">
        <v>50</v>
      </c>
      <c r="B134" s="6" t="s">
        <v>222</v>
      </c>
      <c r="C134" s="13"/>
      <c r="D134" s="13"/>
      <c r="E134" s="13"/>
      <c r="F134" s="13"/>
      <c r="G134" s="13"/>
      <c r="H134" s="13"/>
      <c r="I134" s="13"/>
      <c r="J134" s="13"/>
    </row>
    <row r="135" spans="1:24" s="2" customFormat="1" x14ac:dyDescent="0.45">
      <c r="A135" s="16" t="s">
        <v>154</v>
      </c>
      <c r="B135" s="6" t="s">
        <v>223</v>
      </c>
      <c r="C135" s="13"/>
      <c r="D135" s="13"/>
      <c r="E135" s="13"/>
      <c r="F135" s="13"/>
      <c r="G135" s="13"/>
      <c r="H135" s="13"/>
      <c r="I135" s="13"/>
      <c r="J135" s="13"/>
    </row>
    <row r="136" spans="1:24" ht="30" customHeight="1" x14ac:dyDescent="0.45">
      <c r="A136" s="81" t="s">
        <v>224</v>
      </c>
      <c r="B136" s="82"/>
      <c r="C136" s="13"/>
      <c r="D136" s="13"/>
      <c r="E136" s="13"/>
      <c r="F136" s="13"/>
      <c r="G136" s="13"/>
      <c r="H136" s="13"/>
      <c r="I136" s="13"/>
      <c r="K136" s="2"/>
      <c r="L136" s="2"/>
      <c r="M136" s="2"/>
      <c r="N136" s="2"/>
      <c r="O136" s="2"/>
      <c r="P136" s="2"/>
      <c r="Q136" s="2"/>
      <c r="R136" s="2"/>
      <c r="S136" s="2"/>
      <c r="T136" s="2"/>
      <c r="U136" s="2"/>
      <c r="V136" s="2"/>
      <c r="W136" s="2"/>
      <c r="X136" s="2"/>
    </row>
    <row r="138" spans="1:24" x14ac:dyDescent="0.45">
      <c r="A138" s="72" t="s">
        <v>226</v>
      </c>
      <c r="B138" s="72"/>
    </row>
    <row r="139" spans="1:24" x14ac:dyDescent="0.45">
      <c r="A139" s="16" t="s">
        <v>227</v>
      </c>
      <c r="B139" s="6" t="str">
        <f>B129</f>
        <v xml:space="preserve"> 0215002.MXP</v>
      </c>
    </row>
    <row r="140" spans="1:24" x14ac:dyDescent="0.45">
      <c r="A140" s="71" t="s">
        <v>230</v>
      </c>
      <c r="B140" s="71"/>
    </row>
  </sheetData>
  <mergeCells count="31">
    <mergeCell ref="A140:B140"/>
    <mergeCell ref="A50:A51"/>
    <mergeCell ref="A128:B128"/>
    <mergeCell ref="A130:B130"/>
    <mergeCell ref="A136:B136"/>
    <mergeCell ref="A138:B138"/>
    <mergeCell ref="A73:H73"/>
    <mergeCell ref="A102:F102"/>
    <mergeCell ref="A111:C111"/>
    <mergeCell ref="A112:B112"/>
    <mergeCell ref="A97:F97"/>
    <mergeCell ref="A113:B113"/>
    <mergeCell ref="A114:B114"/>
    <mergeCell ref="A116:C116"/>
    <mergeCell ref="A117:C117"/>
    <mergeCell ref="E3:G3"/>
    <mergeCell ref="C3:D3"/>
    <mergeCell ref="A86:F86"/>
    <mergeCell ref="A91:F91"/>
    <mergeCell ref="A84:F84"/>
    <mergeCell ref="A75:F75"/>
    <mergeCell ref="B3:B4"/>
    <mergeCell ref="A3:A4"/>
    <mergeCell ref="C22:D22"/>
    <mergeCell ref="E22:G22"/>
    <mergeCell ref="C50:D50"/>
    <mergeCell ref="E50:G50"/>
    <mergeCell ref="B22:B23"/>
    <mergeCell ref="A22:A23"/>
    <mergeCell ref="B50:B51"/>
    <mergeCell ref="A77:F77"/>
  </mergeCells>
  <pageMargins left="0.7" right="0.7" top="0.75" bottom="0.75" header="0.3" footer="0.3"/>
  <pageSetup paperSize="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Version</vt:lpstr>
      <vt:lpstr>LoadRequirements</vt:lpstr>
      <vt:lpstr>SuperJXOriginalDesign</vt:lpstr>
      <vt:lpstr>PowerConverters</vt:lpstr>
      <vt:lpstr>EarthLeakage</vt:lpstr>
      <vt:lpstr>DCFilterPerformance</vt:lpstr>
      <vt:lpstr>MainsInput&amp;LoadCharacteristics</vt:lpstr>
      <vt:lpstr>FuseSimulationResults</vt:lpstr>
      <vt:lpstr>FuseCurves-TD</vt:lpstr>
      <vt:lpstr>PCBPowerTraces</vt:lpstr>
      <vt:lpstr>MainsInputSimulation</vt:lpstr>
      <vt:lpstr>TestResults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2018-07-07T17:20:05Z</dcterms:modified>
</cp:coreProperties>
</file>