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Projects\P0022-OBXCA3086Replacement\Documentation\"/>
    </mc:Choice>
  </mc:AlternateContent>
  <xr:revisionPtr revIDLastSave="0" documentId="13_ncr:1_{CD11D90C-C86B-4A74-AB8B-36A1A6B65DF9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PTS Resistor Substitution" sheetId="1" r:id="rId1"/>
    <sheet name="MAT14 Adjustments" sheetId="3" r:id="rId2"/>
    <sheet name="PartsList" sheetId="5" r:id="rId3"/>
    <sheet name="ExpoTests" sheetId="2" r:id="rId4"/>
    <sheet name="TuningFrequencies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2" l="1"/>
  <c r="H13" i="2" s="1"/>
  <c r="G12" i="2"/>
  <c r="H12" i="2" s="1"/>
  <c r="G7" i="2"/>
  <c r="H7" i="2" s="1"/>
  <c r="G6" i="2"/>
  <c r="H6" i="2" s="1"/>
  <c r="G5" i="2"/>
  <c r="H5" i="2" s="1"/>
  <c r="G9" i="2"/>
  <c r="H9" i="2" s="1"/>
  <c r="G8" i="2"/>
  <c r="H8" i="2" s="1"/>
  <c r="K12" i="1" l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11" i="1"/>
  <c r="H29" i="1" l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27" i="1"/>
  <c r="AG25" i="1" s="1"/>
  <c r="H28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N12" i="1"/>
  <c r="N13" i="1"/>
  <c r="N14" i="1"/>
  <c r="N15" i="1"/>
  <c r="N16" i="1"/>
  <c r="N17" i="1"/>
  <c r="N18" i="1"/>
  <c r="N19" i="1"/>
  <c r="N20" i="1"/>
  <c r="N21" i="1"/>
  <c r="N22" i="1"/>
  <c r="O5" i="1" s="1"/>
  <c r="X22" i="1" s="1"/>
  <c r="Y22" i="1" s="1"/>
  <c r="Z22" i="1" s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11" i="1"/>
  <c r="AL18" i="1"/>
  <c r="C11" i="1"/>
  <c r="C12" i="1"/>
  <c r="C13" i="1"/>
  <c r="C14" i="1"/>
  <c r="C15" i="1"/>
  <c r="C16" i="1"/>
  <c r="C17" i="1"/>
  <c r="C18" i="1"/>
  <c r="C19" i="1"/>
  <c r="C20" i="1"/>
  <c r="C21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24" i="1"/>
  <c r="C25" i="1"/>
  <c r="C26" i="1"/>
  <c r="C27" i="1"/>
  <c r="C28" i="1"/>
  <c r="C29" i="1"/>
  <c r="C30" i="1"/>
  <c r="C31" i="1"/>
  <c r="C32" i="1"/>
  <c r="C33" i="1"/>
  <c r="C23" i="1"/>
  <c r="X45" i="1" l="1"/>
  <c r="Y45" i="1" s="1"/>
  <c r="Z45" i="1" s="1"/>
  <c r="X43" i="1"/>
  <c r="Y43" i="1" s="1"/>
  <c r="Z43" i="1" s="1"/>
  <c r="X27" i="1"/>
  <c r="Y27" i="1" s="1"/>
  <c r="Z27" i="1" s="1"/>
  <c r="X39" i="1"/>
  <c r="Y39" i="1" s="1"/>
  <c r="Z39" i="1" s="1"/>
  <c r="X40" i="1"/>
  <c r="Y40" i="1" s="1"/>
  <c r="Z40" i="1" s="1"/>
  <c r="X26" i="1"/>
  <c r="Y26" i="1" s="1"/>
  <c r="Z26" i="1" s="1"/>
  <c r="X41" i="1"/>
  <c r="Y41" i="1" s="1"/>
  <c r="Z41" i="1" s="1"/>
  <c r="X42" i="1"/>
  <c r="Y42" i="1" s="1"/>
  <c r="Z42" i="1" s="1"/>
  <c r="O6" i="1"/>
  <c r="T47" i="1" s="1"/>
  <c r="U47" i="1" s="1"/>
  <c r="V47" i="1" s="1"/>
  <c r="X24" i="1"/>
  <c r="Y24" i="1" s="1"/>
  <c r="Z24" i="1" s="1"/>
  <c r="X23" i="1"/>
  <c r="Y23" i="1" s="1"/>
  <c r="Z23" i="1" s="1"/>
  <c r="X30" i="1"/>
  <c r="Y30" i="1" s="1"/>
  <c r="Z30" i="1" s="1"/>
  <c r="X33" i="1"/>
  <c r="Y33" i="1" s="1"/>
  <c r="Z33" i="1" s="1"/>
  <c r="T27" i="1"/>
  <c r="U27" i="1" s="1"/>
  <c r="V27" i="1" s="1"/>
  <c r="X21" i="1"/>
  <c r="Y21" i="1" s="1"/>
  <c r="Z21" i="1" s="1"/>
  <c r="X36" i="1"/>
  <c r="Y36" i="1" s="1"/>
  <c r="Z36" i="1" s="1"/>
  <c r="T12" i="1"/>
  <c r="U12" i="1" s="1"/>
  <c r="V12" i="1" s="1"/>
  <c r="X20" i="1"/>
  <c r="Y20" i="1" s="1"/>
  <c r="Z20" i="1" s="1"/>
  <c r="P22" i="1"/>
  <c r="Q22" i="1" s="1"/>
  <c r="R22" i="1" s="1"/>
  <c r="P26" i="1"/>
  <c r="Q26" i="1" s="1"/>
  <c r="R26" i="1" s="1"/>
  <c r="T26" i="1"/>
  <c r="U26" i="1" s="1"/>
  <c r="V26" i="1" s="1"/>
  <c r="X52" i="1"/>
  <c r="Y52" i="1" s="1"/>
  <c r="Z52" i="1" s="1"/>
  <c r="X19" i="1"/>
  <c r="Y19" i="1" s="1"/>
  <c r="Z19" i="1" s="1"/>
  <c r="X51" i="1"/>
  <c r="Y51" i="1" s="1"/>
  <c r="Z51" i="1" s="1"/>
  <c r="X35" i="1"/>
  <c r="Y35" i="1" s="1"/>
  <c r="Z35" i="1" s="1"/>
  <c r="X50" i="1"/>
  <c r="Y50" i="1" s="1"/>
  <c r="Z50" i="1" s="1"/>
  <c r="X34" i="1"/>
  <c r="Y34" i="1" s="1"/>
  <c r="Z34" i="1" s="1"/>
  <c r="X17" i="1"/>
  <c r="Y17" i="1" s="1"/>
  <c r="Z17" i="1" s="1"/>
  <c r="X11" i="1"/>
  <c r="Y11" i="1" s="1"/>
  <c r="Z11" i="1" s="1"/>
  <c r="X49" i="1"/>
  <c r="Y49" i="1" s="1"/>
  <c r="Z49" i="1" s="1"/>
  <c r="T53" i="1"/>
  <c r="U53" i="1" s="1"/>
  <c r="V53" i="1" s="1"/>
  <c r="X48" i="1"/>
  <c r="Y48" i="1" s="1"/>
  <c r="Z48" i="1" s="1"/>
  <c r="X32" i="1"/>
  <c r="Y32" i="1" s="1"/>
  <c r="Z32" i="1" s="1"/>
  <c r="X15" i="1"/>
  <c r="Y15" i="1" s="1"/>
  <c r="Z15" i="1" s="1"/>
  <c r="P36" i="1"/>
  <c r="Q36" i="1" s="1"/>
  <c r="R36" i="1" s="1"/>
  <c r="T19" i="1"/>
  <c r="U19" i="1" s="1"/>
  <c r="V19" i="1" s="1"/>
  <c r="X13" i="1"/>
  <c r="Y13" i="1" s="1"/>
  <c r="Z13" i="1" s="1"/>
  <c r="P50" i="1"/>
  <c r="Q50" i="1" s="1"/>
  <c r="R50" i="1" s="1"/>
  <c r="T50" i="1"/>
  <c r="U50" i="1" s="1"/>
  <c r="V50" i="1" s="1"/>
  <c r="X29" i="1"/>
  <c r="Y29" i="1" s="1"/>
  <c r="Z29" i="1" s="1"/>
  <c r="X12" i="1"/>
  <c r="Y12" i="1" s="1"/>
  <c r="Z12" i="1" s="1"/>
  <c r="T43" i="1"/>
  <c r="U43" i="1" s="1"/>
  <c r="V43" i="1" s="1"/>
  <c r="X38" i="1"/>
  <c r="Y38" i="1" s="1"/>
  <c r="Z38" i="1" s="1"/>
  <c r="X53" i="1"/>
  <c r="Y53" i="1" s="1"/>
  <c r="Z53" i="1" s="1"/>
  <c r="X37" i="1"/>
  <c r="Y37" i="1" s="1"/>
  <c r="Z37" i="1" s="1"/>
  <c r="X25" i="1"/>
  <c r="Y25" i="1" s="1"/>
  <c r="Z25" i="1" s="1"/>
  <c r="X18" i="1"/>
  <c r="Y18" i="1" s="1"/>
  <c r="Z18" i="1" s="1"/>
  <c r="X16" i="1"/>
  <c r="Y16" i="1" s="1"/>
  <c r="Z16" i="1" s="1"/>
  <c r="X47" i="1"/>
  <c r="Y47" i="1" s="1"/>
  <c r="Z47" i="1" s="1"/>
  <c r="X31" i="1"/>
  <c r="Y31" i="1" s="1"/>
  <c r="Z31" i="1" s="1"/>
  <c r="X14" i="1"/>
  <c r="Y14" i="1" s="1"/>
  <c r="Z14" i="1" s="1"/>
  <c r="X46" i="1"/>
  <c r="Y46" i="1" s="1"/>
  <c r="Z46" i="1" s="1"/>
  <c r="T49" i="1"/>
  <c r="U49" i="1" s="1"/>
  <c r="V49" i="1" s="1"/>
  <c r="X44" i="1"/>
  <c r="Y44" i="1" s="1"/>
  <c r="Z44" i="1" s="1"/>
  <c r="X28" i="1"/>
  <c r="Y28" i="1" s="1"/>
  <c r="Z28" i="1" s="1"/>
  <c r="C6" i="1"/>
  <c r="F6" i="1" s="1"/>
  <c r="AB53" i="1" s="1"/>
  <c r="E31" i="1"/>
  <c r="E32" i="1"/>
  <c r="E33" i="1"/>
  <c r="E34" i="1"/>
  <c r="E35" i="1"/>
  <c r="E36" i="1"/>
  <c r="E37" i="1"/>
  <c r="E38" i="1"/>
  <c r="E39" i="1"/>
  <c r="F39" i="1" s="1"/>
  <c r="E40" i="1"/>
  <c r="F40" i="1" s="1"/>
  <c r="E41" i="1"/>
  <c r="F41" i="1" s="1"/>
  <c r="E42" i="1"/>
  <c r="F42" i="1" s="1"/>
  <c r="E43" i="1"/>
  <c r="E44" i="1"/>
  <c r="E45" i="1"/>
  <c r="E46" i="1"/>
  <c r="E47" i="1"/>
  <c r="E48" i="1"/>
  <c r="E49" i="1"/>
  <c r="E50" i="1"/>
  <c r="E51" i="1"/>
  <c r="E52" i="1"/>
  <c r="E53" i="1"/>
  <c r="E12" i="1"/>
  <c r="E13" i="1"/>
  <c r="E14" i="1"/>
  <c r="E15" i="1"/>
  <c r="E16" i="1"/>
  <c r="E17" i="1"/>
  <c r="F17" i="1" s="1"/>
  <c r="E18" i="1"/>
  <c r="F18" i="1" s="1"/>
  <c r="E19" i="1"/>
  <c r="E20" i="1"/>
  <c r="E21" i="1"/>
  <c r="E22" i="1"/>
  <c r="E23" i="1"/>
  <c r="E24" i="1"/>
  <c r="E25" i="1"/>
  <c r="E26" i="1"/>
  <c r="E27" i="1"/>
  <c r="E28" i="1"/>
  <c r="E29" i="1"/>
  <c r="E30" i="1"/>
  <c r="E11" i="1"/>
  <c r="P20" i="1" l="1"/>
  <c r="Q20" i="1" s="1"/>
  <c r="R20" i="1" s="1"/>
  <c r="T52" i="1"/>
  <c r="U52" i="1" s="1"/>
  <c r="V52" i="1" s="1"/>
  <c r="P38" i="1"/>
  <c r="Q38" i="1" s="1"/>
  <c r="R38" i="1" s="1"/>
  <c r="T23" i="1"/>
  <c r="U23" i="1" s="1"/>
  <c r="V23" i="1" s="1"/>
  <c r="P23" i="1"/>
  <c r="Q23" i="1" s="1"/>
  <c r="R23" i="1" s="1"/>
  <c r="P39" i="1"/>
  <c r="Q39" i="1" s="1"/>
  <c r="R39" i="1" s="1"/>
  <c r="T42" i="1"/>
  <c r="U42" i="1" s="1"/>
  <c r="V42" i="1" s="1"/>
  <c r="P42" i="1"/>
  <c r="Q42" i="1" s="1"/>
  <c r="R42" i="1" s="1"/>
  <c r="P53" i="1"/>
  <c r="Q53" i="1" s="1"/>
  <c r="R53" i="1" s="1"/>
  <c r="T44" i="1"/>
  <c r="U44" i="1" s="1"/>
  <c r="V44" i="1" s="1"/>
  <c r="P44" i="1"/>
  <c r="Q44" i="1" s="1"/>
  <c r="R44" i="1" s="1"/>
  <c r="T11" i="1"/>
  <c r="U11" i="1" s="1"/>
  <c r="V11" i="1" s="1"/>
  <c r="T14" i="1"/>
  <c r="U14" i="1" s="1"/>
  <c r="V14" i="1" s="1"/>
  <c r="P49" i="1"/>
  <c r="Q49" i="1" s="1"/>
  <c r="R49" i="1" s="1"/>
  <c r="P16" i="1"/>
  <c r="Q16" i="1" s="1"/>
  <c r="R16" i="1" s="1"/>
  <c r="T34" i="1"/>
  <c r="U34" i="1" s="1"/>
  <c r="V34" i="1" s="1"/>
  <c r="P34" i="1"/>
  <c r="Q34" i="1" s="1"/>
  <c r="R34" i="1" s="1"/>
  <c r="T18" i="1"/>
  <c r="U18" i="1" s="1"/>
  <c r="V18" i="1" s="1"/>
  <c r="T35" i="1"/>
  <c r="U35" i="1" s="1"/>
  <c r="V35" i="1" s="1"/>
  <c r="P18" i="1"/>
  <c r="Q18" i="1" s="1"/>
  <c r="R18" i="1" s="1"/>
  <c r="P41" i="1"/>
  <c r="Q41" i="1" s="1"/>
  <c r="R41" i="1" s="1"/>
  <c r="P32" i="1"/>
  <c r="Q32" i="1" s="1"/>
  <c r="R32" i="1" s="1"/>
  <c r="F23" i="1"/>
  <c r="F26" i="1"/>
  <c r="P12" i="1"/>
  <c r="Q12" i="1" s="1"/>
  <c r="R12" i="1" s="1"/>
  <c r="P14" i="1"/>
  <c r="Q14" i="1" s="1"/>
  <c r="R14" i="1" s="1"/>
  <c r="P47" i="1"/>
  <c r="Q47" i="1" s="1"/>
  <c r="R47" i="1" s="1"/>
  <c r="T32" i="1"/>
  <c r="U32" i="1" s="1"/>
  <c r="V32" i="1" s="1"/>
  <c r="T22" i="1"/>
  <c r="U22" i="1" s="1"/>
  <c r="V22" i="1" s="1"/>
  <c r="P27" i="1"/>
  <c r="Q27" i="1" s="1"/>
  <c r="R27" i="1" s="1"/>
  <c r="AB16" i="1"/>
  <c r="AC16" i="1" s="1"/>
  <c r="AD16" i="1" s="1"/>
  <c r="P43" i="1"/>
  <c r="Q43" i="1" s="1"/>
  <c r="R43" i="1" s="1"/>
  <c r="T40" i="1"/>
  <c r="U40" i="1" s="1"/>
  <c r="V40" i="1" s="1"/>
  <c r="T37" i="1"/>
  <c r="U37" i="1" s="1"/>
  <c r="V37" i="1" s="1"/>
  <c r="P52" i="1"/>
  <c r="Q52" i="1" s="1"/>
  <c r="R52" i="1" s="1"/>
  <c r="T17" i="1"/>
  <c r="U17" i="1" s="1"/>
  <c r="V17" i="1" s="1"/>
  <c r="T21" i="1"/>
  <c r="U21" i="1" s="1"/>
  <c r="V21" i="1" s="1"/>
  <c r="T29" i="1"/>
  <c r="U29" i="1" s="1"/>
  <c r="V29" i="1" s="1"/>
  <c r="T28" i="1"/>
  <c r="U28" i="1" s="1"/>
  <c r="V28" i="1" s="1"/>
  <c r="P40" i="1"/>
  <c r="Q40" i="1" s="1"/>
  <c r="R40" i="1" s="1"/>
  <c r="P29" i="1"/>
  <c r="Q29" i="1" s="1"/>
  <c r="R29" i="1" s="1"/>
  <c r="P17" i="1"/>
  <c r="Q17" i="1" s="1"/>
  <c r="R17" i="1" s="1"/>
  <c r="P37" i="1"/>
  <c r="Q37" i="1" s="1"/>
  <c r="R37" i="1" s="1"/>
  <c r="P28" i="1"/>
  <c r="Q28" i="1" s="1"/>
  <c r="R28" i="1" s="1"/>
  <c r="T15" i="1"/>
  <c r="U15" i="1" s="1"/>
  <c r="V15" i="1" s="1"/>
  <c r="T33" i="1"/>
  <c r="U33" i="1" s="1"/>
  <c r="V33" i="1" s="1"/>
  <c r="T45" i="1"/>
  <c r="U45" i="1" s="1"/>
  <c r="V45" i="1" s="1"/>
  <c r="P33" i="1"/>
  <c r="Q33" i="1" s="1"/>
  <c r="R33" i="1" s="1"/>
  <c r="T38" i="1"/>
  <c r="U38" i="1" s="1"/>
  <c r="V38" i="1" s="1"/>
  <c r="T16" i="1"/>
  <c r="U16" i="1" s="1"/>
  <c r="V16" i="1" s="1"/>
  <c r="P21" i="1"/>
  <c r="Q21" i="1" s="1"/>
  <c r="R21" i="1" s="1"/>
  <c r="T41" i="1"/>
  <c r="U41" i="1" s="1"/>
  <c r="V41" i="1" s="1"/>
  <c r="AC53" i="1"/>
  <c r="AD53" i="1" s="1"/>
  <c r="P35" i="1"/>
  <c r="Q35" i="1" s="1"/>
  <c r="R35" i="1" s="1"/>
  <c r="P11" i="1"/>
  <c r="Q11" i="1" s="1"/>
  <c r="R11" i="1" s="1"/>
  <c r="T51" i="1"/>
  <c r="U51" i="1" s="1"/>
  <c r="V51" i="1" s="1"/>
  <c r="P19" i="1"/>
  <c r="Q19" i="1" s="1"/>
  <c r="R19" i="1" s="1"/>
  <c r="T13" i="1"/>
  <c r="U13" i="1" s="1"/>
  <c r="V13" i="1" s="1"/>
  <c r="P24" i="1"/>
  <c r="Q24" i="1" s="1"/>
  <c r="R24" i="1" s="1"/>
  <c r="P13" i="1"/>
  <c r="Q13" i="1" s="1"/>
  <c r="R13" i="1" s="1"/>
  <c r="T48" i="1"/>
  <c r="U48" i="1" s="1"/>
  <c r="V48" i="1" s="1"/>
  <c r="P51" i="1"/>
  <c r="Q51" i="1" s="1"/>
  <c r="R51" i="1" s="1"/>
  <c r="T46" i="1"/>
  <c r="U46" i="1" s="1"/>
  <c r="V46" i="1" s="1"/>
  <c r="P45" i="1"/>
  <c r="Q45" i="1" s="1"/>
  <c r="R45" i="1" s="1"/>
  <c r="P15" i="1"/>
  <c r="Q15" i="1" s="1"/>
  <c r="R15" i="1" s="1"/>
  <c r="T30" i="1"/>
  <c r="U30" i="1" s="1"/>
  <c r="V30" i="1" s="1"/>
  <c r="AB42" i="1"/>
  <c r="AC42" i="1" s="1"/>
  <c r="AD42" i="1" s="1"/>
  <c r="T24" i="1"/>
  <c r="U24" i="1" s="1"/>
  <c r="V24" i="1" s="1"/>
  <c r="P30" i="1"/>
  <c r="Q30" i="1" s="1"/>
  <c r="R30" i="1" s="1"/>
  <c r="P48" i="1"/>
  <c r="Q48" i="1" s="1"/>
  <c r="R48" i="1" s="1"/>
  <c r="T25" i="1"/>
  <c r="U25" i="1" s="1"/>
  <c r="V25" i="1" s="1"/>
  <c r="T31" i="1"/>
  <c r="U31" i="1" s="1"/>
  <c r="V31" i="1" s="1"/>
  <c r="T36" i="1"/>
  <c r="U36" i="1" s="1"/>
  <c r="V36" i="1" s="1"/>
  <c r="P46" i="1"/>
  <c r="Q46" i="1" s="1"/>
  <c r="R46" i="1" s="1"/>
  <c r="T20" i="1"/>
  <c r="U20" i="1" s="1"/>
  <c r="V20" i="1" s="1"/>
  <c r="P25" i="1"/>
  <c r="Q25" i="1" s="1"/>
  <c r="R25" i="1" s="1"/>
  <c r="P31" i="1"/>
  <c r="Q31" i="1" s="1"/>
  <c r="R31" i="1" s="1"/>
  <c r="AB36" i="1"/>
  <c r="AC36" i="1" s="1"/>
  <c r="AD36" i="1" s="1"/>
  <c r="T39" i="1"/>
  <c r="U39" i="1" s="1"/>
  <c r="V39" i="1" s="1"/>
  <c r="AB43" i="1"/>
  <c r="AC43" i="1" s="1"/>
  <c r="AD43" i="1" s="1"/>
  <c r="AB47" i="1"/>
  <c r="AC47" i="1" s="1"/>
  <c r="AD47" i="1" s="1"/>
  <c r="AB40" i="1"/>
  <c r="AC40" i="1" s="1"/>
  <c r="AD40" i="1" s="1"/>
  <c r="AB32" i="1"/>
  <c r="AC32" i="1" s="1"/>
  <c r="AD32" i="1" s="1"/>
  <c r="AB20" i="1"/>
  <c r="AC20" i="1" s="1"/>
  <c r="AD20" i="1" s="1"/>
  <c r="AB11" i="1"/>
  <c r="AC11" i="1" s="1"/>
  <c r="AD11" i="1" s="1"/>
  <c r="AB51" i="1"/>
  <c r="AC51" i="1" s="1"/>
  <c r="AD51" i="1" s="1"/>
  <c r="AB35" i="1"/>
  <c r="AC35" i="1" s="1"/>
  <c r="AD35" i="1" s="1"/>
  <c r="AB22" i="1"/>
  <c r="AC22" i="1" s="1"/>
  <c r="AD22" i="1" s="1"/>
  <c r="AB33" i="1"/>
  <c r="AC33" i="1" s="1"/>
  <c r="AD33" i="1" s="1"/>
  <c r="AB41" i="1"/>
  <c r="AC41" i="1" s="1"/>
  <c r="AD41" i="1" s="1"/>
  <c r="AB31" i="1"/>
  <c r="AC31" i="1" s="1"/>
  <c r="AD31" i="1" s="1"/>
  <c r="AB15" i="1"/>
  <c r="AC15" i="1" s="1"/>
  <c r="AD15" i="1" s="1"/>
  <c r="AB38" i="1"/>
  <c r="AC38" i="1" s="1"/>
  <c r="AD38" i="1" s="1"/>
  <c r="AB48" i="1"/>
  <c r="AC48" i="1" s="1"/>
  <c r="AD48" i="1" s="1"/>
  <c r="AB23" i="1"/>
  <c r="AC23" i="1" s="1"/>
  <c r="AD23" i="1" s="1"/>
  <c r="AB17" i="1"/>
  <c r="AC17" i="1" s="1"/>
  <c r="AD17" i="1" s="1"/>
  <c r="AB19" i="1"/>
  <c r="AC19" i="1" s="1"/>
  <c r="AD19" i="1" s="1"/>
  <c r="AB45" i="1"/>
  <c r="AC45" i="1" s="1"/>
  <c r="AD45" i="1" s="1"/>
  <c r="AB12" i="1"/>
  <c r="AC12" i="1" s="1"/>
  <c r="AD12" i="1" s="1"/>
  <c r="AB49" i="1"/>
  <c r="AC49" i="1" s="1"/>
  <c r="AD49" i="1" s="1"/>
  <c r="AB34" i="1"/>
  <c r="AC34" i="1" s="1"/>
  <c r="AD34" i="1" s="1"/>
  <c r="AB21" i="1"/>
  <c r="AC21" i="1" s="1"/>
  <c r="AD21" i="1" s="1"/>
  <c r="AB29" i="1"/>
  <c r="AC29" i="1" s="1"/>
  <c r="AD29" i="1" s="1"/>
  <c r="AB28" i="1"/>
  <c r="AC28" i="1" s="1"/>
  <c r="AD28" i="1" s="1"/>
  <c r="AB26" i="1"/>
  <c r="AC26" i="1" s="1"/>
  <c r="AD26" i="1" s="1"/>
  <c r="AB27" i="1"/>
  <c r="AB24" i="1"/>
  <c r="AC24" i="1" s="1"/>
  <c r="AD24" i="1" s="1"/>
  <c r="AB52" i="1"/>
  <c r="AC52" i="1" s="1"/>
  <c r="AD52" i="1" s="1"/>
  <c r="AB13" i="1"/>
  <c r="AC13" i="1" s="1"/>
  <c r="AD13" i="1" s="1"/>
  <c r="AB50" i="1"/>
  <c r="AC50" i="1" s="1"/>
  <c r="AD50" i="1" s="1"/>
  <c r="AB46" i="1"/>
  <c r="AC46" i="1" s="1"/>
  <c r="AD46" i="1" s="1"/>
  <c r="AB30" i="1"/>
  <c r="AC30" i="1" s="1"/>
  <c r="AD30" i="1" s="1"/>
  <c r="AB14" i="1"/>
  <c r="AC14" i="1" s="1"/>
  <c r="AD14" i="1" s="1"/>
  <c r="AB18" i="1"/>
  <c r="AC18" i="1" s="1"/>
  <c r="AD18" i="1" s="1"/>
  <c r="AB39" i="1"/>
  <c r="AC39" i="1" s="1"/>
  <c r="AD39" i="1" s="1"/>
  <c r="AB44" i="1"/>
  <c r="AC44" i="1" s="1"/>
  <c r="AD44" i="1" s="1"/>
  <c r="AB37" i="1"/>
  <c r="AC37" i="1" s="1"/>
  <c r="AD37" i="1" s="1"/>
  <c r="AB25" i="1"/>
  <c r="AC25" i="1" s="1"/>
  <c r="AD25" i="1" s="1"/>
  <c r="F29" i="1"/>
  <c r="F13" i="1"/>
  <c r="F28" i="1"/>
  <c r="F38" i="1"/>
  <c r="F53" i="1"/>
  <c r="F37" i="1"/>
  <c r="F36" i="1"/>
  <c r="F25" i="1"/>
  <c r="F35" i="1"/>
  <c r="F24" i="1"/>
  <c r="F34" i="1"/>
  <c r="F33" i="1"/>
  <c r="F48" i="1"/>
  <c r="F47" i="1"/>
  <c r="F20" i="1"/>
  <c r="F30" i="1"/>
  <c r="F14" i="1"/>
  <c r="F12" i="1"/>
  <c r="F52" i="1"/>
  <c r="F51" i="1"/>
  <c r="F50" i="1"/>
  <c r="F49" i="1"/>
  <c r="F22" i="1"/>
  <c r="F32" i="1"/>
  <c r="F21" i="1"/>
  <c r="F31" i="1"/>
  <c r="F46" i="1"/>
  <c r="F19" i="1"/>
  <c r="F45" i="1"/>
  <c r="F44" i="1"/>
  <c r="F43" i="1"/>
  <c r="F16" i="1"/>
  <c r="F11" i="1"/>
  <c r="F15" i="1"/>
  <c r="AG27" i="1" l="1"/>
  <c r="AG29" i="1" s="1"/>
  <c r="AC27" i="1"/>
  <c r="AD2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Guy Wilkinson</author>
  </authors>
  <commentList>
    <comment ref="F5" authorId="0" shapeId="0" xr:uid="{266152B9-7111-42D2-99AE-5F9F9F7D393B}">
      <text>
        <r>
          <rPr>
            <b/>
            <sz val="9"/>
            <color indexed="81"/>
            <rFont val="Tahoma"/>
            <family val="2"/>
          </rPr>
          <t>Guy Wilkinson:</t>
        </r>
        <r>
          <rPr>
            <sz val="9"/>
            <color indexed="81"/>
            <rFont val="Tahoma"/>
            <family val="2"/>
          </rPr>
          <t xml:space="preserve">
Put parallel correction resistor in here, note that it will negate the tempco effect &amp; therefore can potentially match the slope</t>
        </r>
      </text>
    </comment>
    <comment ref="A28" authorId="0" shapeId="0" xr:uid="{95F98624-A77F-4A05-B344-D6C9C3A7D746}">
      <text>
        <r>
          <rPr>
            <b/>
            <sz val="9"/>
            <color indexed="81"/>
            <rFont val="Tahoma"/>
            <family val="2"/>
          </rPr>
          <t>Guy Wilkinson:</t>
        </r>
        <r>
          <rPr>
            <sz val="9"/>
            <color indexed="81"/>
            <rFont val="Tahoma"/>
            <family val="2"/>
          </rPr>
          <t xml:space="preserve">
For UK, the average temperature inside an OB-X during the winter is about 30C :-)</t>
        </r>
      </text>
    </comment>
  </commentList>
</comments>
</file>

<file path=xl/sharedStrings.xml><?xml version="1.0" encoding="utf-8"?>
<sst xmlns="http://schemas.openxmlformats.org/spreadsheetml/2006/main" count="201" uniqueCount="150">
  <si>
    <t>Temp</t>
  </si>
  <si>
    <t>R Ohms</t>
  </si>
  <si>
    <t>TC R @ 25C</t>
  </si>
  <si>
    <t>Parallel R</t>
  </si>
  <si>
    <t>ppm</t>
  </si>
  <si>
    <t xml:space="preserve"> Tdiff * R * ppm / 1000000</t>
  </si>
  <si>
    <t>Rd</t>
  </si>
  <si>
    <t>1000000 * Rd  /  Tdiff * R</t>
  </si>
  <si>
    <t>Nom 0C</t>
  </si>
  <si>
    <t>Vth</t>
  </si>
  <si>
    <t>k * T / q</t>
  </si>
  <si>
    <t>mV</t>
  </si>
  <si>
    <t>Vth (mV)</t>
  </si>
  <si>
    <t>Vth 0C</t>
  </si>
  <si>
    <t>Transistor</t>
  </si>
  <si>
    <t>PTS Resistor</t>
  </si>
  <si>
    <t>PTS Diff</t>
  </si>
  <si>
    <t>Vth/PTS</t>
  </si>
  <si>
    <t>Vth/||R</t>
  </si>
  <si>
    <t>||R@25C</t>
  </si>
  <si>
    <t>Vth@25C</t>
  </si>
  <si>
    <t>R @ 25C</t>
  </si>
  <si>
    <t>R</t>
  </si>
  <si>
    <t>Tel Labs</t>
  </si>
  <si>
    <t>Tel Labs Resistor</t>
  </si>
  <si>
    <t>Transistor Vth</t>
  </si>
  <si>
    <t>TL Diff</t>
  </si>
  <si>
    <t>Slope of Vth is equivalent to tempco of 3354</t>
  </si>
  <si>
    <t>Ideal tempco vs Vth Calculation</t>
  </si>
  <si>
    <t>Ideal tempco match Vth</t>
  </si>
  <si>
    <t>Ideal Tempco</t>
  </si>
  <si>
    <t>Vth/Ri</t>
  </si>
  <si>
    <t>||R Diff</t>
  </si>
  <si>
    <t>PTS With Correction (@25C)</t>
  </si>
  <si>
    <t>PTS Without Correction (0C)</t>
  </si>
  <si>
    <t>22K ideal slope match</t>
  </si>
  <si>
    <t>A1 Pin6 57600</t>
  </si>
  <si>
    <t>TempCo New</t>
  </si>
  <si>
    <t>11.3K best 25C match tempco match</t>
  </si>
  <si>
    <t>Tel Labs vs Vth Accuracy</t>
  </si>
  <si>
    <t>PTS &amp; || Correction</t>
  </si>
  <si>
    <t>Characteristics</t>
  </si>
  <si>
    <t>TempCo Tellabs</t>
  </si>
  <si>
    <t>Adjust 57K6 for New Tempco Combo</t>
  </si>
  <si>
    <t>14.7K is best compromise &amp; better match than Tellabs</t>
  </si>
  <si>
    <t>Tested no correction resistor and replace 57.6K with 63.4K yields best result</t>
  </si>
  <si>
    <t>Results</t>
  </si>
  <si>
    <t>Resistor chosen 63400 ohms.</t>
  </si>
  <si>
    <t>Best fit for no correction 63200 ohms</t>
  </si>
  <si>
    <t>Chosen Arrangement</t>
  </si>
  <si>
    <t>A1 Pin6 new resistor</t>
  </si>
  <si>
    <t>Ratio Calculation @ 25C</t>
  </si>
  <si>
    <t>Calculator: Replace Tellabs Tempco with PTS Resistor plus any parallel R correction</t>
  </si>
  <si>
    <t>PTS &amp; Parallel R</t>
  </si>
  <si>
    <t>Description</t>
  </si>
  <si>
    <t>Start Frequency Hz</t>
  </si>
  <si>
    <t>End Freq</t>
  </si>
  <si>
    <t>Difference</t>
  </si>
  <si>
    <t>%age Change</t>
  </si>
  <si>
    <t>No ||R to TempCo R</t>
  </si>
  <si>
    <t>14K7 ||R to TempCo R</t>
  </si>
  <si>
    <t>Best fit for tuning scale across keyboard, replaced 750K with 825K resistor 50ppm but ideally needs 10ppm</t>
  </si>
  <si>
    <t>Complete madness until temperature starts to stabilise, final temp though looks pretty tight.</t>
  </si>
  <si>
    <t>MAT14 side effects</t>
  </si>
  <si>
    <t>Too much gain</t>
  </si>
  <si>
    <t>For MAT14 750K resistor needs increasing to 825K</t>
  </si>
  <si>
    <t>Slope in wrong position and tuning scale cannot be met</t>
  </si>
  <si>
    <t>Could not get this to tune across the keyboard scale, adjusting 57K6 necssary</t>
  </si>
  <si>
    <t>Oberheim circuit</t>
  </si>
  <si>
    <t>Voice Card</t>
  </si>
  <si>
    <t>B1</t>
  </si>
  <si>
    <t>B3</t>
  </si>
  <si>
    <t>B2</t>
  </si>
  <si>
    <t>B4</t>
  </si>
  <si>
    <t>Notes</t>
  </si>
  <si>
    <t>Oberheim circuit retested</t>
  </si>
  <si>
    <t>Highest value was 442.7 during heating</t>
  </si>
  <si>
    <t>Lowest value was 433.7 during heating</t>
  </si>
  <si>
    <t>Revisited B3 with Holco H8 precision resistors : 825K &amp; 63.4K / Instrument was fully tuned to 440Hz</t>
  </si>
  <si>
    <r>
      <t xml:space="preserve">Start Temp 
</t>
    </r>
    <r>
      <rPr>
        <b/>
        <vertAlign val="superscript"/>
        <sz val="10"/>
        <color theme="1"/>
        <rFont val="Arial"/>
        <family val="2"/>
      </rPr>
      <t>o</t>
    </r>
    <r>
      <rPr>
        <b/>
        <sz val="10"/>
        <color theme="1"/>
        <rFont val="Arial"/>
        <family val="2"/>
      </rPr>
      <t>C</t>
    </r>
  </si>
  <si>
    <r>
      <t xml:space="preserve">End Temp
</t>
    </r>
    <r>
      <rPr>
        <b/>
        <vertAlign val="superscript"/>
        <sz val="10"/>
        <color theme="1"/>
        <rFont val="Arial"/>
        <family val="2"/>
      </rPr>
      <t>o</t>
    </r>
    <r>
      <rPr>
        <b/>
        <sz val="10"/>
        <color theme="1"/>
        <rFont val="Arial"/>
        <family val="2"/>
      </rPr>
      <t>C</t>
    </r>
  </si>
  <si>
    <t>Start Frequency
Hz</t>
  </si>
  <si>
    <t>End Frequency
Hz</t>
  </si>
  <si>
    <t>Difference
Hz</t>
  </si>
  <si>
    <t>No ||R to TempCo R, 63K4</t>
  </si>
  <si>
    <t xml:space="preserve">Circuit Configuration </t>
  </si>
  <si>
    <t>Exponential Converter Test Measurements on Oberheim OB-X</t>
  </si>
  <si>
    <t>Tuning Scale for OBX</t>
  </si>
  <si>
    <t>Calibrate Voice Card B1 VCO1 to this using frequency counter first before tuning all other VCOs and cards to match using beat frequency technique</t>
  </si>
  <si>
    <t>Octave Switch &amp; Key Position</t>
  </si>
  <si>
    <t>Ideal Frequency
Hz</t>
  </si>
  <si>
    <t>Down C0</t>
  </si>
  <si>
    <t>Down C1</t>
  </si>
  <si>
    <t>Mid C0</t>
  </si>
  <si>
    <t>Down C2</t>
  </si>
  <si>
    <t>Mid C1</t>
  </si>
  <si>
    <t>Up C0</t>
  </si>
  <si>
    <t>Down C3</t>
  </si>
  <si>
    <t>Mid C2</t>
  </si>
  <si>
    <t>Up C1</t>
  </si>
  <si>
    <t>Down C4</t>
  </si>
  <si>
    <t>Mid C3</t>
  </si>
  <si>
    <t>Up C2</t>
  </si>
  <si>
    <t>Down C5</t>
  </si>
  <si>
    <t>Mid C4</t>
  </si>
  <si>
    <t>Up C3</t>
  </si>
  <si>
    <t>Mid C5</t>
  </si>
  <si>
    <t>Up C4</t>
  </si>
  <si>
    <t>Up C5</t>
  </si>
  <si>
    <t>https://mixbutton.com/music-tools/frequency-and-pitch/music-note-to-frequency-chart</t>
  </si>
  <si>
    <t>Parts List for Expo Converter Options</t>
  </si>
  <si>
    <t>Primary Design - Track Transistor Vth</t>
  </si>
  <si>
    <t>PCB1</t>
  </si>
  <si>
    <t>SuperSynthProjects</t>
  </si>
  <si>
    <t>P22A</t>
  </si>
  <si>
    <t>Top PCB for MAT14</t>
  </si>
  <si>
    <t>PCB2</t>
  </si>
  <si>
    <t>P22B</t>
  </si>
  <si>
    <t>Base PCB for resistors</t>
  </si>
  <si>
    <t>CN4, CN3</t>
  </si>
  <si>
    <t>Harwin</t>
  </si>
  <si>
    <t>D01-9922046</t>
  </si>
  <si>
    <t>Turned pin header strip 20Way</t>
  </si>
  <si>
    <t>IC1</t>
  </si>
  <si>
    <t>Analog Devices</t>
  </si>
  <si>
    <t>MAT14ARZ</t>
  </si>
  <si>
    <t>BJT Matched Monolithic Quad Transistor</t>
  </si>
  <si>
    <t>R1, R5</t>
  </si>
  <si>
    <t>Yageo Nexensos</t>
  </si>
  <si>
    <t>32207615</t>
  </si>
  <si>
    <t>SENSOR RTD 1KOHM 0.3% 0805 (PTS resistor range)</t>
  </si>
  <si>
    <t>R3, R6</t>
  </si>
  <si>
    <t>Vishay Dale</t>
  </si>
  <si>
    <t>TNPW080514K7BEEA</t>
  </si>
  <si>
    <t>RES 14.7K OHM 0.1% 0.26W 0805 25ppm</t>
  </si>
  <si>
    <t>R2, R4</t>
  </si>
  <si>
    <t>Bourns</t>
  </si>
  <si>
    <t>CR0805-J/-000ELF</t>
  </si>
  <si>
    <t>0R Link to bypass the series option</t>
  </si>
  <si>
    <t>Voice PCB</t>
  </si>
  <si>
    <t>D2814-42</t>
  </si>
  <si>
    <t>14 Pin 0.3" Turned Pin IC Socket. Replacement for CA3086</t>
  </si>
  <si>
    <t xml:space="preserve">TE Connectivity </t>
  </si>
  <si>
    <t>H8825KBYA</t>
  </si>
  <si>
    <t>825K 15ppm 0.1%. Replacement for 750K resistor</t>
  </si>
  <si>
    <t>Alternative - Track circuit characteristics</t>
  </si>
  <si>
    <t>---</t>
  </si>
  <si>
    <t>No Fit</t>
  </si>
  <si>
    <t>H863K4BYA</t>
  </si>
  <si>
    <t>63K4 15ppm 0.1%. Replacement for 57K6 resistor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</si>
</sst>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00"/>
    <numFmt numFmtId="166" formatCode="0.00000"/>
    <numFmt numFmtId="167" formatCode="0.000%"/>
  </numFmts>
  <fonts count="27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u/>
      <sz val="10"/>
      <color theme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Arial"/>
      <family val="2"/>
    </font>
    <font>
      <b/>
      <vertAlign val="superscript"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17" fillId="0" borderId="0" applyNumberFormat="0" applyFill="0" applyBorder="0" applyAlignment="0" applyProtection="0"/>
    <xf numFmtId="0" fontId="4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0" fillId="32" borderId="0" applyNumberFormat="0" applyBorder="0" applyAlignment="0" applyProtection="0"/>
    <xf numFmtId="9" fontId="4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0" fontId="26" fillId="0" borderId="0" applyNumberFormat="0" applyFill="0" applyBorder="0" applyAlignment="0" applyProtection="0"/>
    <xf numFmtId="0" fontId="1" fillId="0" borderId="0"/>
  </cellStyleXfs>
  <cellXfs count="102">
    <xf numFmtId="0" fontId="0" fillId="0" borderId="0" xfId="0"/>
    <xf numFmtId="1" fontId="0" fillId="33" borderId="0" xfId="0" applyNumberFormat="1" applyFill="1" applyAlignment="1">
      <alignment vertical="center"/>
    </xf>
    <xf numFmtId="0" fontId="0" fillId="33" borderId="0" xfId="0" applyFill="1" applyAlignment="1">
      <alignment vertical="center"/>
    </xf>
    <xf numFmtId="164" fontId="0" fillId="33" borderId="0" xfId="0" applyNumberFormat="1" applyFill="1" applyAlignment="1">
      <alignment vertical="center"/>
    </xf>
    <xf numFmtId="165" fontId="0" fillId="33" borderId="0" xfId="0" applyNumberFormat="1" applyFill="1" applyAlignment="1">
      <alignment vertical="center"/>
    </xf>
    <xf numFmtId="0" fontId="0" fillId="34" borderId="0" xfId="0" applyFill="1" applyAlignment="1">
      <alignment vertical="center"/>
    </xf>
    <xf numFmtId="1" fontId="0" fillId="34" borderId="0" xfId="0" applyNumberFormat="1" applyFill="1" applyAlignment="1">
      <alignment vertical="center"/>
    </xf>
    <xf numFmtId="164" fontId="0" fillId="34" borderId="0" xfId="0" applyNumberFormat="1" applyFill="1" applyAlignment="1">
      <alignment vertical="center"/>
    </xf>
    <xf numFmtId="165" fontId="0" fillId="34" borderId="0" xfId="0" applyNumberFormat="1" applyFill="1" applyAlignment="1">
      <alignment vertical="center"/>
    </xf>
    <xf numFmtId="10" fontId="0" fillId="34" borderId="0" xfId="42" applyNumberFormat="1" applyFont="1" applyFill="1" applyAlignment="1">
      <alignment vertical="center"/>
    </xf>
    <xf numFmtId="10" fontId="0" fillId="33" borderId="0" xfId="42" applyNumberFormat="1" applyFont="1" applyFill="1" applyAlignment="1">
      <alignment vertical="center"/>
    </xf>
    <xf numFmtId="1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10" fontId="0" fillId="0" borderId="0" xfId="42" applyNumberFormat="1" applyFont="1" applyFill="1" applyAlignment="1">
      <alignment vertical="center"/>
    </xf>
    <xf numFmtId="1" fontId="0" fillId="33" borderId="0" xfId="0" applyNumberFormat="1" applyFill="1" applyAlignment="1">
      <alignment horizontal="center" vertical="center"/>
    </xf>
    <xf numFmtId="1" fontId="0" fillId="34" borderId="0" xfId="0" applyNumberFormat="1" applyFill="1" applyAlignment="1">
      <alignment horizontal="center"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65" fontId="0" fillId="0" borderId="0" xfId="0" applyNumberFormat="1" applyAlignment="1">
      <alignment horizontal="left" vertical="center"/>
    </xf>
    <xf numFmtId="165" fontId="0" fillId="0" borderId="0" xfId="0" applyNumberFormat="1" applyAlignment="1">
      <alignment vertical="center"/>
    </xf>
    <xf numFmtId="0" fontId="21" fillId="0" borderId="0" xfId="43" applyFill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0" fontId="21" fillId="0" borderId="0" xfId="43" applyFill="1" applyAlignment="1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quotePrefix="1" applyAlignment="1">
      <alignment vertical="center"/>
    </xf>
    <xf numFmtId="164" fontId="19" fillId="0" borderId="0" xfId="0" applyNumberFormat="1" applyFont="1" applyAlignment="1">
      <alignment vertical="center"/>
    </xf>
    <xf numFmtId="166" fontId="0" fillId="0" borderId="0" xfId="0" applyNumberFormat="1" applyAlignment="1">
      <alignment vertical="center"/>
    </xf>
    <xf numFmtId="11" fontId="0" fillId="0" borderId="0" xfId="0" applyNumberFormat="1" applyAlignment="1">
      <alignment vertical="center"/>
    </xf>
    <xf numFmtId="0" fontId="0" fillId="33" borderId="0" xfId="0" applyFill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10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1" xfId="0" quotePrefix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165" fontId="0" fillId="0" borderId="13" xfId="0" applyNumberFormat="1" applyBorder="1" applyAlignment="1">
      <alignment vertical="center"/>
    </xf>
    <xf numFmtId="165" fontId="0" fillId="0" borderId="15" xfId="0" applyNumberFormat="1" applyBorder="1" applyAlignment="1">
      <alignment vertical="center"/>
    </xf>
    <xf numFmtId="165" fontId="0" fillId="0" borderId="16" xfId="0" applyNumberForma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165" fontId="0" fillId="0" borderId="14" xfId="0" applyNumberFormat="1" applyBorder="1" applyAlignment="1">
      <alignment vertical="center"/>
    </xf>
    <xf numFmtId="0" fontId="21" fillId="0" borderId="15" xfId="43" applyFill="1" applyBorder="1" applyAlignment="1">
      <alignment vertical="center"/>
    </xf>
    <xf numFmtId="165" fontId="0" fillId="0" borderId="16" xfId="0" applyNumberFormat="1" applyBorder="1" applyAlignment="1">
      <alignment horizontal="left" vertical="center"/>
    </xf>
    <xf numFmtId="165" fontId="0" fillId="0" borderId="17" xfId="0" applyNumberFormat="1" applyBorder="1" applyAlignment="1">
      <alignment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0" fillId="0" borderId="17" xfId="0" applyBorder="1" applyAlignment="1">
      <alignment horizontal="left" vertical="center"/>
    </xf>
    <xf numFmtId="11" fontId="0" fillId="0" borderId="14" xfId="0" applyNumberFormat="1" applyBorder="1" applyAlignment="1">
      <alignment horizontal="left" vertical="center"/>
    </xf>
    <xf numFmtId="0" fontId="21" fillId="0" borderId="15" xfId="43" applyFill="1" applyBorder="1" applyAlignment="1">
      <alignment horizontal="left" vertical="center"/>
    </xf>
    <xf numFmtId="2" fontId="0" fillId="0" borderId="17" xfId="0" applyNumberFormat="1" applyBorder="1" applyAlignment="1">
      <alignment horizontal="left" vertical="center"/>
    </xf>
    <xf numFmtId="0" fontId="24" fillId="0" borderId="0" xfId="44" applyFont="1" applyAlignment="1">
      <alignment vertical="center"/>
    </xf>
    <xf numFmtId="0" fontId="4" fillId="0" borderId="0" xfId="44" applyFont="1" applyAlignment="1">
      <alignment horizontal="center" vertical="center"/>
    </xf>
    <xf numFmtId="0" fontId="4" fillId="0" borderId="0" xfId="44" applyFont="1" applyAlignment="1">
      <alignment vertical="center"/>
    </xf>
    <xf numFmtId="0" fontId="19" fillId="0" borderId="0" xfId="0" applyFont="1"/>
    <xf numFmtId="1" fontId="4" fillId="0" borderId="0" xfId="44" applyNumberFormat="1" applyFont="1" applyAlignment="1">
      <alignment horizontal="center" vertical="center"/>
    </xf>
    <xf numFmtId="0" fontId="24" fillId="0" borderId="0" xfId="44" applyFont="1" applyAlignment="1">
      <alignment horizontal="center" vertical="center"/>
    </xf>
    <xf numFmtId="0" fontId="4" fillId="0" borderId="18" xfId="44" applyFont="1" applyBorder="1" applyAlignment="1">
      <alignment vertical="center"/>
    </xf>
    <xf numFmtId="0" fontId="4" fillId="0" borderId="18" xfId="44" applyFont="1" applyBorder="1" applyAlignment="1">
      <alignment horizontal="center" vertical="center"/>
    </xf>
    <xf numFmtId="1" fontId="4" fillId="0" borderId="18" xfId="44" applyNumberFormat="1" applyFont="1" applyBorder="1" applyAlignment="1">
      <alignment horizontal="center" vertical="center"/>
    </xf>
    <xf numFmtId="164" fontId="4" fillId="0" borderId="18" xfId="44" applyNumberFormat="1" applyFont="1" applyBorder="1" applyAlignment="1">
      <alignment horizontal="center" vertical="center"/>
    </xf>
    <xf numFmtId="167" fontId="4" fillId="0" borderId="18" xfId="45" applyNumberFormat="1" applyFont="1" applyBorder="1" applyAlignment="1">
      <alignment horizontal="center" vertical="center"/>
    </xf>
    <xf numFmtId="0" fontId="4" fillId="0" borderId="18" xfId="44" applyFont="1" applyBorder="1" applyAlignment="1">
      <alignment vertical="center" wrapText="1"/>
    </xf>
    <xf numFmtId="0" fontId="19" fillId="36" borderId="18" xfId="44" applyFont="1" applyFill="1" applyBorder="1" applyAlignment="1">
      <alignment horizontal="center" vertical="center" wrapText="1"/>
    </xf>
    <xf numFmtId="0" fontId="19" fillId="37" borderId="18" xfId="44" applyFont="1" applyFill="1" applyBorder="1" applyAlignment="1">
      <alignment horizontal="center" vertical="center" wrapText="1"/>
    </xf>
    <xf numFmtId="0" fontId="19" fillId="36" borderId="18" xfId="44" applyFont="1" applyFill="1" applyBorder="1" applyAlignment="1">
      <alignment vertical="center" wrapText="1"/>
    </xf>
    <xf numFmtId="0" fontId="19" fillId="37" borderId="18" xfId="44" applyFont="1" applyFill="1" applyBorder="1" applyAlignment="1">
      <alignment vertical="center" wrapText="1"/>
    </xf>
    <xf numFmtId="0" fontId="19" fillId="0" borderId="0" xfId="46" applyFont="1" applyAlignment="1">
      <alignment horizontal="left" vertical="center"/>
    </xf>
    <xf numFmtId="0" fontId="4" fillId="0" borderId="0" xfId="46" applyFont="1" applyAlignment="1">
      <alignment horizontal="center" vertical="center"/>
    </xf>
    <xf numFmtId="0" fontId="4" fillId="0" borderId="0" xfId="46" applyFont="1" applyAlignment="1">
      <alignment vertical="center"/>
    </xf>
    <xf numFmtId="0" fontId="4" fillId="0" borderId="0" xfId="46" applyFont="1" applyAlignment="1">
      <alignment horizontal="left" vertical="center"/>
    </xf>
    <xf numFmtId="0" fontId="19" fillId="37" borderId="18" xfId="46" applyFont="1" applyFill="1" applyBorder="1" applyAlignment="1">
      <alignment horizontal="center" vertical="center" wrapText="1"/>
    </xf>
    <xf numFmtId="0" fontId="4" fillId="0" borderId="18" xfId="46" applyFont="1" applyBorder="1" applyAlignment="1">
      <alignment horizontal="center" vertical="center"/>
    </xf>
    <xf numFmtId="2" fontId="4" fillId="0" borderId="18" xfId="46" applyNumberFormat="1" applyFont="1" applyBorder="1" applyAlignment="1">
      <alignment horizontal="center" vertical="center"/>
    </xf>
    <xf numFmtId="0" fontId="26" fillId="0" borderId="0" xfId="47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4" fillId="0" borderId="19" xfId="44" applyFont="1" applyBorder="1" applyAlignment="1">
      <alignment horizontal="left" vertical="center" wrapText="1"/>
    </xf>
    <xf numFmtId="0" fontId="4" fillId="0" borderId="20" xfId="44" applyFont="1" applyBorder="1" applyAlignment="1">
      <alignment horizontal="left" vertical="center" wrapText="1"/>
    </xf>
    <xf numFmtId="0" fontId="4" fillId="0" borderId="21" xfId="44" applyFont="1" applyBorder="1" applyAlignment="1">
      <alignment horizontal="left" vertical="center" wrapText="1"/>
    </xf>
    <xf numFmtId="0" fontId="19" fillId="35" borderId="22" xfId="44" applyFont="1" applyFill="1" applyBorder="1" applyAlignment="1">
      <alignment horizontal="center" vertical="center"/>
    </xf>
    <xf numFmtId="0" fontId="19" fillId="35" borderId="23" xfId="44" applyFont="1" applyFill="1" applyBorder="1" applyAlignment="1">
      <alignment horizontal="center" vertical="center"/>
    </xf>
    <xf numFmtId="0" fontId="19" fillId="35" borderId="24" xfId="44" applyFont="1" applyFill="1" applyBorder="1" applyAlignment="1">
      <alignment horizontal="center" vertical="center"/>
    </xf>
    <xf numFmtId="0" fontId="19" fillId="37" borderId="18" xfId="46" applyFont="1" applyFill="1" applyBorder="1" applyAlignment="1">
      <alignment horizontal="center" vertical="center"/>
    </xf>
    <xf numFmtId="0" fontId="19" fillId="0" borderId="0" xfId="48" applyFont="1" applyAlignment="1">
      <alignment vertical="center"/>
    </xf>
    <xf numFmtId="0" fontId="4" fillId="0" borderId="0" xfId="48" applyFont="1" applyAlignment="1">
      <alignment vertical="center"/>
    </xf>
    <xf numFmtId="0" fontId="19" fillId="37" borderId="18" xfId="48" applyFont="1" applyFill="1" applyBorder="1" applyAlignment="1">
      <alignment horizontal="center" vertical="center"/>
    </xf>
    <xf numFmtId="0" fontId="4" fillId="0" borderId="18" xfId="48" applyFont="1" applyBorder="1" applyAlignment="1">
      <alignment vertical="center"/>
    </xf>
    <xf numFmtId="0" fontId="4" fillId="0" borderId="18" xfId="48" applyFont="1" applyBorder="1" applyAlignment="1">
      <alignment horizontal="center" vertical="center"/>
    </xf>
    <xf numFmtId="0" fontId="4" fillId="0" borderId="18" xfId="48" applyFont="1" applyBorder="1" applyAlignment="1">
      <alignment horizontal="left" vertical="center"/>
    </xf>
    <xf numFmtId="0" fontId="4" fillId="0" borderId="18" xfId="48" quotePrefix="1" applyFont="1" applyBorder="1" applyAlignment="1">
      <alignment horizontal="center" vertical="center"/>
    </xf>
    <xf numFmtId="0" fontId="4" fillId="0" borderId="18" xfId="48" applyFont="1" applyBorder="1" applyAlignment="1">
      <alignment horizontal="center" vertical="center"/>
    </xf>
    <xf numFmtId="0" fontId="19" fillId="35" borderId="18" xfId="48" applyFont="1" applyFill="1" applyBorder="1" applyAlignment="1">
      <alignment horizontal="center" vertical="center"/>
    </xf>
  </cellXfs>
  <cellStyles count="49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3" builtinId="8"/>
    <cellStyle name="Hyperlink 2" xfId="47" xr:uid="{76022AD3-BA1B-4FDE-81A9-1311D875A267}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4" xr:uid="{A3B93F7D-099C-4A7C-B672-24C2ADBF7E2E}"/>
    <cellStyle name="Normal 3" xfId="46" xr:uid="{69DC22E2-1FAA-4D13-8246-61007DD17889}"/>
    <cellStyle name="Normal 4" xfId="48" xr:uid="{4F38CF63-2AEE-40D2-B984-676AD1B1E7CE}"/>
    <cellStyle name="Note" xfId="15" builtinId="10" customBuiltin="1"/>
    <cellStyle name="Output" xfId="10" builtinId="21" customBuiltin="1"/>
    <cellStyle name="Percent" xfId="42" builtinId="5"/>
    <cellStyle name="Percent 2" xfId="45" xr:uid="{BF654DFB-D976-40B2-86C3-8786872B42E3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0</xdr:colOff>
      <xdr:row>24</xdr:row>
      <xdr:rowOff>0</xdr:rowOff>
    </xdr:from>
    <xdr:to>
      <xdr:col>37</xdr:col>
      <xdr:colOff>344037</xdr:colOff>
      <xdr:row>31</xdr:row>
      <xdr:rowOff>76209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A36FF6A-A290-4B25-85A7-53770345D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517721" y="2319618"/>
          <a:ext cx="2209816" cy="1219209"/>
        </a:xfrm>
        <a:prstGeom prst="rect">
          <a:avLst/>
        </a:prstGeom>
        <a:ln w="15875"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7</xdr:col>
      <xdr:colOff>581062</xdr:colOff>
      <xdr:row>32</xdr:row>
      <xdr:rowOff>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8EBD59-09B2-7DFA-7D48-68773A835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143000"/>
          <a:ext cx="5114962" cy="404815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7</xdr:col>
      <xdr:colOff>481013</xdr:colOff>
      <xdr:row>32</xdr:row>
      <xdr:rowOff>23821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950374-9037-43EB-9D4D-8572BEEFE9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933700"/>
          <a:ext cx="5767388" cy="2614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Vth@25C" TargetMode="External"/><Relationship Id="rId1" Type="http://schemas.openxmlformats.org/officeDocument/2006/relationships/hyperlink" Target="mailto:%7C%7CR@25C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s://mixbutton.com/music-tools/frequency-and-pitch/music-note-to-frequency-cha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53"/>
  <sheetViews>
    <sheetView tabSelected="1" zoomScale="70" zoomScaleNormal="70" workbookViewId="0">
      <selection activeCell="B22" sqref="B22"/>
    </sheetView>
  </sheetViews>
  <sheetFormatPr defaultColWidth="8.73046875" defaultRowHeight="12.75" x14ac:dyDescent="0.35"/>
  <cols>
    <col min="1" max="1" width="6.73046875" style="25" customWidth="1"/>
    <col min="2" max="3" width="11.73046875" style="17" customWidth="1"/>
    <col min="4" max="4" width="2.06640625" style="17" customWidth="1"/>
    <col min="5" max="5" width="11.46484375" style="17" customWidth="1"/>
    <col min="6" max="6" width="8.73046875" style="17"/>
    <col min="7" max="7" width="2.06640625" style="17" customWidth="1"/>
    <col min="8" max="8" width="8.73046875" style="17"/>
    <col min="9" max="9" width="6.6640625" style="17" customWidth="1"/>
    <col min="10" max="10" width="2.06640625" style="17" customWidth="1"/>
    <col min="11" max="12" width="8.73046875" style="17"/>
    <col min="13" max="13" width="2.06640625" style="17" customWidth="1"/>
    <col min="14" max="14" width="8.73046875" style="17"/>
    <col min="15" max="15" width="2.06640625" style="17" customWidth="1"/>
    <col min="16" max="16" width="9.73046875" style="17" bestFit="1" customWidth="1"/>
    <col min="17" max="18" width="8.73046875" style="17"/>
    <col min="19" max="19" width="2.06640625" style="17" customWidth="1"/>
    <col min="20" max="20" width="9.73046875" style="17" bestFit="1" customWidth="1"/>
    <col min="21" max="22" width="8.73046875" style="17"/>
    <col min="23" max="23" width="2.06640625" style="17" customWidth="1"/>
    <col min="24" max="26" width="8.73046875" style="17"/>
    <col min="27" max="27" width="2.06640625" style="17" customWidth="1"/>
    <col min="28" max="30" width="8.73046875" style="17"/>
    <col min="31" max="31" width="5.19921875" style="17" customWidth="1"/>
    <col min="32" max="32" width="17.53125" style="17" customWidth="1"/>
    <col min="33" max="33" width="10.06640625" style="17" customWidth="1"/>
    <col min="34" max="37" width="8.73046875" style="17"/>
    <col min="38" max="38" width="12.46484375" style="17" bestFit="1" customWidth="1"/>
    <col min="39" max="16384" width="8.73046875" style="17"/>
  </cols>
  <sheetData>
    <row r="1" spans="1:38" ht="13.15" x14ac:dyDescent="0.35">
      <c r="A1" s="33" t="s">
        <v>52</v>
      </c>
    </row>
    <row r="2" spans="1:38" ht="13.15" thickBot="1" x14ac:dyDescent="0.4"/>
    <row r="3" spans="1:38" ht="13.15" x14ac:dyDescent="0.35">
      <c r="B3" s="84" t="s">
        <v>15</v>
      </c>
      <c r="C3" s="85"/>
      <c r="E3" s="84" t="s">
        <v>53</v>
      </c>
      <c r="F3" s="85"/>
      <c r="H3" s="84" t="s">
        <v>24</v>
      </c>
      <c r="I3" s="85"/>
      <c r="K3" s="80" t="s">
        <v>29</v>
      </c>
      <c r="L3" s="81"/>
      <c r="N3" s="34" t="s">
        <v>25</v>
      </c>
      <c r="O3" s="35"/>
      <c r="P3" s="35"/>
      <c r="Q3" s="35"/>
      <c r="R3" s="37"/>
      <c r="T3" s="34" t="s">
        <v>46</v>
      </c>
      <c r="U3" s="35"/>
      <c r="V3" s="35"/>
      <c r="W3" s="35"/>
      <c r="X3" s="36"/>
      <c r="Y3" s="35"/>
      <c r="Z3" s="35"/>
      <c r="AA3" s="35"/>
      <c r="AB3" s="35"/>
      <c r="AC3" s="35"/>
      <c r="AD3" s="37"/>
      <c r="AF3" s="28" t="s">
        <v>41</v>
      </c>
    </row>
    <row r="4" spans="1:38" ht="14" customHeight="1" x14ac:dyDescent="0.35">
      <c r="B4" s="38"/>
      <c r="C4" s="39"/>
      <c r="E4" s="38"/>
      <c r="F4" s="39"/>
      <c r="H4" s="38"/>
      <c r="I4" s="39"/>
      <c r="K4" s="82"/>
      <c r="L4" s="83"/>
      <c r="N4" s="38" t="s">
        <v>27</v>
      </c>
      <c r="R4" s="39"/>
      <c r="T4" s="38" t="s">
        <v>35</v>
      </c>
      <c r="AD4" s="39"/>
      <c r="AF4" s="17" t="s">
        <v>9</v>
      </c>
      <c r="AG4" s="17" t="s">
        <v>10</v>
      </c>
    </row>
    <row r="5" spans="1:38" x14ac:dyDescent="0.35">
      <c r="B5" s="38" t="s">
        <v>8</v>
      </c>
      <c r="C5" s="49">
        <v>1000</v>
      </c>
      <c r="E5" s="38" t="s">
        <v>3</v>
      </c>
      <c r="F5" s="52">
        <v>1E+20</v>
      </c>
      <c r="H5" s="38" t="s">
        <v>21</v>
      </c>
      <c r="I5" s="49">
        <v>1000</v>
      </c>
      <c r="K5" s="38" t="s">
        <v>21</v>
      </c>
      <c r="L5" s="49">
        <v>1000</v>
      </c>
      <c r="N5" s="38" t="s">
        <v>13</v>
      </c>
      <c r="O5" s="19">
        <f>N22</f>
        <v>23.538237827861941</v>
      </c>
      <c r="P5" s="20"/>
      <c r="Q5" s="20"/>
      <c r="R5" s="45"/>
      <c r="S5" s="20"/>
      <c r="T5" s="38" t="s">
        <v>38</v>
      </c>
      <c r="U5" s="20"/>
      <c r="V5" s="20"/>
      <c r="AD5" s="39"/>
      <c r="AF5" s="17" t="s">
        <v>6</v>
      </c>
      <c r="AG5" s="27" t="s">
        <v>5</v>
      </c>
    </row>
    <row r="6" spans="1:38" ht="13.15" thickBot="1" x14ac:dyDescent="0.4">
      <c r="B6" s="50" t="s">
        <v>2</v>
      </c>
      <c r="C6" s="51">
        <f>B27</f>
        <v>1097.3499999999999</v>
      </c>
      <c r="E6" s="53" t="s">
        <v>19</v>
      </c>
      <c r="F6" s="54">
        <f>1/((1/$F$5)+(1/C6))</f>
        <v>1097.3499999999999</v>
      </c>
      <c r="H6" s="50" t="s">
        <v>4</v>
      </c>
      <c r="I6" s="51">
        <v>3500</v>
      </c>
      <c r="K6" s="50" t="s">
        <v>4</v>
      </c>
      <c r="L6" s="51">
        <v>3354</v>
      </c>
      <c r="N6" s="46" t="s">
        <v>20</v>
      </c>
      <c r="O6" s="47">
        <f>N27</f>
        <v>25.692570413241945</v>
      </c>
      <c r="P6" s="42"/>
      <c r="Q6" s="42"/>
      <c r="R6" s="48"/>
      <c r="S6" s="20"/>
      <c r="T6" s="40" t="s">
        <v>44</v>
      </c>
      <c r="U6" s="20"/>
      <c r="V6" s="20"/>
      <c r="AD6" s="39"/>
      <c r="AF6" s="17" t="s">
        <v>4</v>
      </c>
      <c r="AG6" s="27" t="s">
        <v>7</v>
      </c>
    </row>
    <row r="7" spans="1:38" ht="13.15" thickBot="1" x14ac:dyDescent="0.4">
      <c r="C7" s="18"/>
      <c r="E7" s="21"/>
      <c r="F7" s="22"/>
      <c r="I7" s="18"/>
      <c r="L7" s="18"/>
      <c r="N7" s="23"/>
      <c r="O7" s="19"/>
      <c r="P7" s="20"/>
      <c r="Q7" s="20"/>
      <c r="R7" s="20"/>
      <c r="S7" s="20"/>
      <c r="T7" s="41" t="s">
        <v>45</v>
      </c>
      <c r="U7" s="42"/>
      <c r="V7" s="42"/>
      <c r="W7" s="43"/>
      <c r="X7" s="43"/>
      <c r="Y7" s="43"/>
      <c r="Z7" s="43"/>
      <c r="AA7" s="43"/>
      <c r="AB7" s="43"/>
      <c r="AC7" s="43"/>
      <c r="AD7" s="44"/>
    </row>
    <row r="8" spans="1:38" x14ac:dyDescent="0.35">
      <c r="B8" s="18"/>
      <c r="C8" s="18"/>
    </row>
    <row r="9" spans="1:38" ht="13.15" x14ac:dyDescent="0.35">
      <c r="A9" s="79" t="s">
        <v>15</v>
      </c>
      <c r="B9" s="79"/>
      <c r="C9" s="79"/>
      <c r="E9" s="79" t="s">
        <v>40</v>
      </c>
      <c r="F9" s="79"/>
      <c r="H9" s="16" t="s">
        <v>23</v>
      </c>
      <c r="K9" s="16" t="s">
        <v>30</v>
      </c>
      <c r="N9" s="16" t="s">
        <v>14</v>
      </c>
      <c r="P9" s="79" t="s">
        <v>39</v>
      </c>
      <c r="Q9" s="79"/>
      <c r="R9" s="79"/>
      <c r="T9" s="79" t="s">
        <v>28</v>
      </c>
      <c r="U9" s="79"/>
      <c r="V9" s="79"/>
      <c r="X9" s="79" t="s">
        <v>34</v>
      </c>
      <c r="Y9" s="79"/>
      <c r="Z9" s="79"/>
      <c r="AB9" s="79" t="s">
        <v>33</v>
      </c>
      <c r="AC9" s="79"/>
      <c r="AD9" s="79"/>
    </row>
    <row r="10" spans="1:38" s="25" customFormat="1" ht="13.15" x14ac:dyDescent="0.35">
      <c r="A10" s="24" t="s">
        <v>0</v>
      </c>
      <c r="B10" s="24" t="s">
        <v>1</v>
      </c>
      <c r="C10" s="24" t="s">
        <v>4</v>
      </c>
      <c r="D10" s="24"/>
      <c r="E10" s="24" t="s">
        <v>3</v>
      </c>
      <c r="F10" s="24" t="s">
        <v>4</v>
      </c>
      <c r="G10" s="24"/>
      <c r="H10" s="24" t="s">
        <v>22</v>
      </c>
      <c r="I10" s="24"/>
      <c r="J10" s="24"/>
      <c r="K10" s="24" t="s">
        <v>22</v>
      </c>
      <c r="N10" s="24" t="s">
        <v>12</v>
      </c>
      <c r="O10" s="24"/>
      <c r="P10" s="24" t="s">
        <v>31</v>
      </c>
      <c r="Q10" s="24" t="s">
        <v>26</v>
      </c>
      <c r="R10" s="24"/>
      <c r="S10" s="24"/>
      <c r="T10" s="24" t="s">
        <v>31</v>
      </c>
      <c r="U10" s="24" t="s">
        <v>26</v>
      </c>
      <c r="V10" s="24"/>
      <c r="X10" s="24" t="s">
        <v>17</v>
      </c>
      <c r="Y10" s="24" t="s">
        <v>16</v>
      </c>
      <c r="Z10" s="24"/>
      <c r="AB10" s="24" t="s">
        <v>18</v>
      </c>
      <c r="AC10" s="24" t="s">
        <v>32</v>
      </c>
      <c r="AD10" s="24"/>
      <c r="AE10" s="24"/>
      <c r="AF10" s="24"/>
    </row>
    <row r="11" spans="1:38" x14ac:dyDescent="0.35">
      <c r="A11" s="25">
        <v>-55</v>
      </c>
      <c r="B11" s="17">
        <v>783.19</v>
      </c>
      <c r="C11" s="26">
        <f t="shared" ref="C11:C21" si="0">(1000000*(B11-$C$5))/(A11*$C$5)</f>
        <v>3941.9999999999991</v>
      </c>
      <c r="D11" s="11"/>
      <c r="E11" s="12">
        <f t="shared" ref="E11:E53" si="1">1/((1/$F$5)+(1/B11))</f>
        <v>783.19</v>
      </c>
      <c r="F11" s="26">
        <f t="shared" ref="F11:F26" si="2">(1000000*ABS(E11-$C$5))/(ABS(25-A11)*$C$5)</f>
        <v>2710.1249999999991</v>
      </c>
      <c r="G11" s="11"/>
      <c r="H11" s="11">
        <f t="shared" ref="H11:H25" si="3">$I$5+((A11-25)*$I$5*$I$6/1000000)</f>
        <v>720</v>
      </c>
      <c r="I11" s="11"/>
      <c r="J11" s="11"/>
      <c r="K11" s="11">
        <f t="shared" ref="K11:K53" si="4">$L$5+((A11-25)*$L$5*$L$6/1000000)</f>
        <v>731.68000000000006</v>
      </c>
      <c r="N11" s="20">
        <f t="shared" ref="N11:N53" si="5">((1000*1.38064852E-23 * (A11+273.15))/1.60217662E-19)</f>
        <v>18.798706140025928</v>
      </c>
      <c r="P11" s="12">
        <f>(N11/$O$6)*$L$5</f>
        <v>731.67868522555762</v>
      </c>
      <c r="Q11" s="11">
        <f t="shared" ref="Q11:Q53" si="6">P11-H11</f>
        <v>11.678685225557615</v>
      </c>
      <c r="R11" s="13">
        <f t="shared" ref="R11:R53" si="7">Q11/H11</f>
        <v>1.62203961466078E-2</v>
      </c>
      <c r="S11" s="13"/>
      <c r="T11" s="12">
        <f>(N11/$O$6)*$L$5</f>
        <v>731.67868522555762</v>
      </c>
      <c r="U11" s="11">
        <f>T11-K11</f>
        <v>-1.3147744424486518E-3</v>
      </c>
      <c r="V11" s="13">
        <f>U11/K11</f>
        <v>-1.7969254898981136E-6</v>
      </c>
      <c r="X11" s="12">
        <f t="shared" ref="X11:X53" si="8">(N11/$O$5)*$C$5</f>
        <v>798.64543291231917</v>
      </c>
      <c r="Y11" s="12">
        <f t="shared" ref="Y11:Y53" si="9">X11-B11</f>
        <v>15.455432912319111</v>
      </c>
      <c r="Z11" s="13">
        <f t="shared" ref="Z11:Z53" si="10">Y11/B11</f>
        <v>1.9733950781188614E-2</v>
      </c>
      <c r="AB11" s="12">
        <f t="shared" ref="AB11:AB53" si="11">(N11/$O$6)*$F$6</f>
        <v>802.9076052322655</v>
      </c>
      <c r="AC11" s="12">
        <f t="shared" ref="AC11:AC53" si="12">AB11-E11</f>
        <v>19.717605232265441</v>
      </c>
      <c r="AD11" s="13">
        <f t="shared" ref="AD11:AD53" si="13">AC11/E11</f>
        <v>2.5176017610369694E-2</v>
      </c>
      <c r="AE11" s="12"/>
      <c r="AF11" s="12"/>
    </row>
    <row r="12" spans="1:38" x14ac:dyDescent="0.35">
      <c r="A12" s="25">
        <v>-50</v>
      </c>
      <c r="B12" s="17">
        <v>803.06</v>
      </c>
      <c r="C12" s="26">
        <f t="shared" si="0"/>
        <v>3938.8000000000011</v>
      </c>
      <c r="D12" s="11"/>
      <c r="E12" s="12">
        <f t="shared" si="1"/>
        <v>803.06000000000006</v>
      </c>
      <c r="F12" s="26">
        <f t="shared" si="2"/>
        <v>2625.8666666666659</v>
      </c>
      <c r="G12" s="11"/>
      <c r="H12" s="11">
        <f t="shared" si="3"/>
        <v>737.5</v>
      </c>
      <c r="I12" s="11"/>
      <c r="J12" s="11"/>
      <c r="K12" s="11">
        <f t="shared" si="4"/>
        <v>748.45</v>
      </c>
      <c r="N12" s="20">
        <f t="shared" si="5"/>
        <v>19.229572657101929</v>
      </c>
      <c r="P12" s="12">
        <f t="shared" ref="P12:P53" si="14">(N12/$O$6)*$L$5</f>
        <v>748.44876739896029</v>
      </c>
      <c r="Q12" s="11">
        <f t="shared" si="6"/>
        <v>10.948767398960285</v>
      </c>
      <c r="R12" s="13">
        <f t="shared" si="7"/>
        <v>1.4845786303674963E-2</v>
      </c>
      <c r="S12" s="13"/>
      <c r="T12" s="12">
        <f t="shared" ref="T12:T53" si="15">(N12/$O$6)*$L$5</f>
        <v>748.44876739896029</v>
      </c>
      <c r="U12" s="11">
        <f t="shared" ref="U12:U53" si="16">T12-K12</f>
        <v>-1.2326010397600839E-3</v>
      </c>
      <c r="V12" s="13">
        <f t="shared" ref="V12:V53" si="17">U12/K12</f>
        <v>-1.6468715876278761E-6</v>
      </c>
      <c r="X12" s="12">
        <f t="shared" si="8"/>
        <v>816.95039355665381</v>
      </c>
      <c r="Y12" s="12">
        <f t="shared" si="9"/>
        <v>13.890393556653862</v>
      </c>
      <c r="Z12" s="13">
        <f t="shared" si="10"/>
        <v>1.7296831565080894E-2</v>
      </c>
      <c r="AB12" s="12">
        <f t="shared" si="11"/>
        <v>821.31025490524894</v>
      </c>
      <c r="AC12" s="12">
        <f t="shared" si="12"/>
        <v>18.25025490524888</v>
      </c>
      <c r="AD12" s="13">
        <f t="shared" si="13"/>
        <v>2.2725892094300398E-2</v>
      </c>
      <c r="AE12" s="12"/>
      <c r="AF12" s="12"/>
    </row>
    <row r="13" spans="1:38" x14ac:dyDescent="0.35">
      <c r="A13" s="25">
        <v>-45</v>
      </c>
      <c r="B13" s="17">
        <v>822.9</v>
      </c>
      <c r="C13" s="26">
        <f t="shared" si="0"/>
        <v>3935.5555555555561</v>
      </c>
      <c r="D13" s="11"/>
      <c r="E13" s="12">
        <f t="shared" si="1"/>
        <v>822.9</v>
      </c>
      <c r="F13" s="26">
        <f t="shared" si="2"/>
        <v>2530.0000000000005</v>
      </c>
      <c r="G13" s="11"/>
      <c r="H13" s="11">
        <f t="shared" si="3"/>
        <v>755</v>
      </c>
      <c r="I13" s="11"/>
      <c r="J13" s="11"/>
      <c r="K13" s="11">
        <f t="shared" si="4"/>
        <v>765.22</v>
      </c>
      <c r="N13" s="20">
        <f t="shared" si="5"/>
        <v>19.660439174177931</v>
      </c>
      <c r="P13" s="12">
        <f t="shared" si="14"/>
        <v>765.21884957236296</v>
      </c>
      <c r="Q13" s="11">
        <f t="shared" si="6"/>
        <v>10.218849572362956</v>
      </c>
      <c r="R13" s="13">
        <f t="shared" si="7"/>
        <v>1.3534900095844975E-2</v>
      </c>
      <c r="S13" s="13"/>
      <c r="T13" s="12">
        <f t="shared" si="15"/>
        <v>765.21884957236296</v>
      </c>
      <c r="U13" s="11">
        <f t="shared" si="16"/>
        <v>-1.1504276370715161E-3</v>
      </c>
      <c r="V13" s="13">
        <f t="shared" si="17"/>
        <v>-1.5033946277822273E-6</v>
      </c>
      <c r="X13" s="12">
        <f t="shared" si="8"/>
        <v>835.25535420098856</v>
      </c>
      <c r="Y13" s="12">
        <f t="shared" si="9"/>
        <v>12.355354200988586</v>
      </c>
      <c r="Z13" s="13">
        <f t="shared" si="10"/>
        <v>1.5014405396753659E-2</v>
      </c>
      <c r="AB13" s="12">
        <f t="shared" si="11"/>
        <v>839.71290457823238</v>
      </c>
      <c r="AC13" s="12">
        <f t="shared" si="12"/>
        <v>16.812904578232406</v>
      </c>
      <c r="AD13" s="13">
        <f t="shared" si="13"/>
        <v>2.0431285184387419E-2</v>
      </c>
      <c r="AE13" s="12"/>
      <c r="AF13" s="12"/>
    </row>
    <row r="14" spans="1:38" x14ac:dyDescent="0.35">
      <c r="A14" s="25">
        <v>-40</v>
      </c>
      <c r="B14" s="17">
        <v>842.71</v>
      </c>
      <c r="C14" s="26">
        <f t="shared" si="0"/>
        <v>3932.2499999999991</v>
      </c>
      <c r="D14" s="11"/>
      <c r="E14" s="12">
        <f t="shared" si="1"/>
        <v>842.70999999999992</v>
      </c>
      <c r="F14" s="26">
        <f t="shared" si="2"/>
        <v>2419.8461538461552</v>
      </c>
      <c r="G14" s="11"/>
      <c r="H14" s="11">
        <f t="shared" si="3"/>
        <v>772.5</v>
      </c>
      <c r="I14" s="11"/>
      <c r="J14" s="11"/>
      <c r="K14" s="11">
        <f t="shared" si="4"/>
        <v>781.99</v>
      </c>
      <c r="N14" s="20">
        <f t="shared" si="5"/>
        <v>20.091305691253933</v>
      </c>
      <c r="P14" s="12">
        <f t="shared" si="14"/>
        <v>781.98893174576551</v>
      </c>
      <c r="Q14" s="11">
        <f t="shared" si="6"/>
        <v>9.4889317457655125</v>
      </c>
      <c r="R14" s="13">
        <f t="shared" si="7"/>
        <v>1.2283406790634967E-2</v>
      </c>
      <c r="S14" s="13"/>
      <c r="T14" s="12">
        <f t="shared" si="15"/>
        <v>781.98893174576551</v>
      </c>
      <c r="U14" s="11">
        <f t="shared" si="16"/>
        <v>-1.068254234496635E-3</v>
      </c>
      <c r="V14" s="13">
        <f t="shared" si="17"/>
        <v>-1.3660714772524392E-6</v>
      </c>
      <c r="X14" s="12">
        <f t="shared" si="8"/>
        <v>853.56031484532309</v>
      </c>
      <c r="Y14" s="12">
        <f t="shared" si="9"/>
        <v>10.850314845323055</v>
      </c>
      <c r="Z14" s="13">
        <f t="shared" si="10"/>
        <v>1.287550265847451E-2</v>
      </c>
      <c r="AB14" s="12">
        <f t="shared" si="11"/>
        <v>858.11555425121571</v>
      </c>
      <c r="AC14" s="12">
        <f t="shared" si="12"/>
        <v>15.40555425121579</v>
      </c>
      <c r="AD14" s="13">
        <f t="shared" si="13"/>
        <v>1.8280967653422638E-2</v>
      </c>
      <c r="AE14" s="12"/>
      <c r="AF14" s="12"/>
    </row>
    <row r="15" spans="1:38" x14ac:dyDescent="0.35">
      <c r="A15" s="25">
        <v>-35</v>
      </c>
      <c r="B15" s="17">
        <v>862.48</v>
      </c>
      <c r="C15" s="26">
        <f t="shared" si="0"/>
        <v>3929.1428571428564</v>
      </c>
      <c r="D15" s="11"/>
      <c r="E15" s="12">
        <f t="shared" si="1"/>
        <v>862.48</v>
      </c>
      <c r="F15" s="26">
        <f t="shared" si="2"/>
        <v>2291.9999999999995</v>
      </c>
      <c r="G15" s="11"/>
      <c r="H15" s="11">
        <f t="shared" si="3"/>
        <v>790</v>
      </c>
      <c r="I15" s="11"/>
      <c r="J15" s="11"/>
      <c r="K15" s="11">
        <f t="shared" si="4"/>
        <v>798.76</v>
      </c>
      <c r="N15" s="20">
        <f t="shared" si="5"/>
        <v>20.522172208329934</v>
      </c>
      <c r="P15" s="12">
        <f t="shared" si="14"/>
        <v>798.7590139191683</v>
      </c>
      <c r="Q15" s="11">
        <f t="shared" si="6"/>
        <v>8.7590139191682965</v>
      </c>
      <c r="R15" s="13">
        <f t="shared" si="7"/>
        <v>1.1087359391352273E-2</v>
      </c>
      <c r="S15" s="13"/>
      <c r="T15" s="12">
        <f t="shared" si="15"/>
        <v>798.7590139191683</v>
      </c>
      <c r="U15" s="11">
        <f t="shared" si="16"/>
        <v>-9.8608083169438032E-4</v>
      </c>
      <c r="V15" s="13">
        <f t="shared" si="17"/>
        <v>-1.2345145371505587E-6</v>
      </c>
      <c r="X15" s="12">
        <f t="shared" si="8"/>
        <v>871.86527548965773</v>
      </c>
      <c r="Y15" s="12">
        <f t="shared" si="9"/>
        <v>9.3852754896577153</v>
      </c>
      <c r="Z15" s="13">
        <f t="shared" si="10"/>
        <v>1.0881731158586535E-2</v>
      </c>
      <c r="AB15" s="12">
        <f t="shared" si="11"/>
        <v>876.51820392419927</v>
      </c>
      <c r="AC15" s="12">
        <f t="shared" si="12"/>
        <v>14.038203924199252</v>
      </c>
      <c r="AD15" s="13">
        <f t="shared" si="13"/>
        <v>1.6276555890222675E-2</v>
      </c>
      <c r="AE15" s="12"/>
      <c r="AF15" s="12"/>
    </row>
    <row r="16" spans="1:38" x14ac:dyDescent="0.35">
      <c r="A16" s="25">
        <v>-30</v>
      </c>
      <c r="B16" s="17">
        <v>882.22</v>
      </c>
      <c r="C16" s="26">
        <f t="shared" si="0"/>
        <v>3925.9999999999991</v>
      </c>
      <c r="D16" s="11"/>
      <c r="E16" s="12">
        <f t="shared" si="1"/>
        <v>882.22000000000014</v>
      </c>
      <c r="F16" s="26">
        <f t="shared" si="2"/>
        <v>2141.4545454545432</v>
      </c>
      <c r="G16" s="11"/>
      <c r="H16" s="11">
        <f t="shared" si="3"/>
        <v>807.5</v>
      </c>
      <c r="I16" s="11"/>
      <c r="J16" s="11"/>
      <c r="K16" s="11">
        <f t="shared" si="4"/>
        <v>815.53</v>
      </c>
      <c r="N16" s="20">
        <f t="shared" si="5"/>
        <v>20.953038725405932</v>
      </c>
      <c r="P16" s="12">
        <f t="shared" si="14"/>
        <v>815.52909609257085</v>
      </c>
      <c r="Q16" s="11">
        <f t="shared" si="6"/>
        <v>8.0290960925708532</v>
      </c>
      <c r="R16" s="13">
        <f t="shared" si="7"/>
        <v>9.9431530558152983E-3</v>
      </c>
      <c r="S16" s="13"/>
      <c r="T16" s="12">
        <f t="shared" si="15"/>
        <v>815.52909609257085</v>
      </c>
      <c r="U16" s="11">
        <f t="shared" si="16"/>
        <v>-9.0390742911949928E-4</v>
      </c>
      <c r="V16" s="13">
        <f t="shared" si="17"/>
        <v>-1.10836809083602E-6</v>
      </c>
      <c r="X16" s="12">
        <f t="shared" si="8"/>
        <v>890.17023613399215</v>
      </c>
      <c r="Y16" s="12">
        <f t="shared" si="9"/>
        <v>7.9502361339921208</v>
      </c>
      <c r="Z16" s="13">
        <f t="shared" si="10"/>
        <v>9.0116253700801615E-3</v>
      </c>
      <c r="AB16" s="12">
        <f t="shared" si="11"/>
        <v>894.9208535971826</v>
      </c>
      <c r="AC16" s="12">
        <f t="shared" si="12"/>
        <v>12.700853597182459</v>
      </c>
      <c r="AD16" s="13">
        <f t="shared" si="13"/>
        <v>1.439646981159173E-2</v>
      </c>
      <c r="AE16" s="12"/>
      <c r="AL16" s="17">
        <v>26.85</v>
      </c>
    </row>
    <row r="17" spans="1:39" x14ac:dyDescent="0.35">
      <c r="A17" s="25">
        <v>-25</v>
      </c>
      <c r="B17" s="17">
        <v>901.92</v>
      </c>
      <c r="C17" s="26">
        <f t="shared" si="0"/>
        <v>3923.2000000000016</v>
      </c>
      <c r="D17" s="11"/>
      <c r="E17" s="12">
        <f t="shared" si="1"/>
        <v>901.92</v>
      </c>
      <c r="F17" s="26">
        <f t="shared" si="2"/>
        <v>1961.6000000000008</v>
      </c>
      <c r="G17" s="11"/>
      <c r="H17" s="11">
        <f t="shared" si="3"/>
        <v>825</v>
      </c>
      <c r="I17" s="11"/>
      <c r="J17" s="11"/>
      <c r="K17" s="11">
        <f t="shared" si="4"/>
        <v>832.3</v>
      </c>
      <c r="N17" s="20">
        <f t="shared" si="5"/>
        <v>21.383905242481934</v>
      </c>
      <c r="P17" s="12">
        <f t="shared" si="14"/>
        <v>832.29917826597341</v>
      </c>
      <c r="Q17" s="11">
        <f t="shared" si="6"/>
        <v>7.2991782659734099</v>
      </c>
      <c r="R17" s="13">
        <f t="shared" si="7"/>
        <v>8.8474888072404972E-3</v>
      </c>
      <c r="S17" s="13"/>
      <c r="T17" s="12">
        <f t="shared" si="15"/>
        <v>832.29917826597341</v>
      </c>
      <c r="U17" s="11">
        <f t="shared" si="16"/>
        <v>-8.2173402654461825E-4</v>
      </c>
      <c r="V17" s="13">
        <f t="shared" si="17"/>
        <v>-9.8730509016534707E-7</v>
      </c>
      <c r="X17" s="12">
        <f t="shared" si="8"/>
        <v>908.4751967783269</v>
      </c>
      <c r="Y17" s="12">
        <f t="shared" si="9"/>
        <v>6.5551967783269447</v>
      </c>
      <c r="Z17" s="13">
        <f t="shared" si="10"/>
        <v>7.2680468093921247E-3</v>
      </c>
      <c r="AB17" s="12">
        <f t="shared" si="11"/>
        <v>913.32350327016593</v>
      </c>
      <c r="AC17" s="12">
        <f t="shared" si="12"/>
        <v>11.40350327016597</v>
      </c>
      <c r="AD17" s="13">
        <f t="shared" si="13"/>
        <v>1.2643586205168941E-2</v>
      </c>
      <c r="AE17" s="12"/>
    </row>
    <row r="18" spans="1:39" x14ac:dyDescent="0.35">
      <c r="A18" s="25">
        <v>-20</v>
      </c>
      <c r="B18" s="17">
        <v>921.6</v>
      </c>
      <c r="C18" s="26">
        <f t="shared" si="0"/>
        <v>3919.9999999999986</v>
      </c>
      <c r="D18" s="11"/>
      <c r="E18" s="12">
        <f t="shared" si="1"/>
        <v>921.59999999999991</v>
      </c>
      <c r="F18" s="26">
        <f t="shared" si="2"/>
        <v>1742.2222222222242</v>
      </c>
      <c r="G18" s="11"/>
      <c r="H18" s="11">
        <f t="shared" si="3"/>
        <v>842.5</v>
      </c>
      <c r="I18" s="11"/>
      <c r="J18" s="11"/>
      <c r="K18" s="11">
        <f t="shared" si="4"/>
        <v>849.06999999999994</v>
      </c>
      <c r="N18" s="20">
        <f t="shared" si="5"/>
        <v>21.814771759557935</v>
      </c>
      <c r="P18" s="12">
        <f t="shared" si="14"/>
        <v>849.06926043937619</v>
      </c>
      <c r="Q18" s="11">
        <f t="shared" si="6"/>
        <v>6.569260439376194</v>
      </c>
      <c r="R18" s="13">
        <f t="shared" si="7"/>
        <v>7.7973417678055719E-3</v>
      </c>
      <c r="S18" s="13"/>
      <c r="T18" s="12">
        <f t="shared" si="15"/>
        <v>849.06926043937619</v>
      </c>
      <c r="U18" s="11">
        <f t="shared" si="16"/>
        <v>-7.3956062374236353E-4</v>
      </c>
      <c r="V18" s="13">
        <f t="shared" si="17"/>
        <v>-8.7102432513498724E-7</v>
      </c>
      <c r="X18" s="12">
        <f t="shared" si="8"/>
        <v>926.78015742266155</v>
      </c>
      <c r="Y18" s="12">
        <f t="shared" si="9"/>
        <v>5.180157422661523</v>
      </c>
      <c r="Z18" s="13">
        <f t="shared" si="10"/>
        <v>5.6208305367421042E-3</v>
      </c>
      <c r="AB18" s="12">
        <f t="shared" si="11"/>
        <v>931.72615294314937</v>
      </c>
      <c r="AC18" s="12">
        <f t="shared" si="12"/>
        <v>10.126152943149464</v>
      </c>
      <c r="AD18" s="13">
        <f t="shared" si="13"/>
        <v>1.0987579148382666E-2</v>
      </c>
      <c r="AE18" s="12"/>
      <c r="AL18" s="20">
        <f>((1000*1.38064852E-23 * (AL16+273.15))/1.60217662E-19)</f>
        <v>25.851991024560068</v>
      </c>
      <c r="AM18" s="17" t="s">
        <v>11</v>
      </c>
    </row>
    <row r="19" spans="1:39" x14ac:dyDescent="0.35">
      <c r="A19" s="25">
        <v>-15</v>
      </c>
      <c r="B19" s="17">
        <v>941.24</v>
      </c>
      <c r="C19" s="26">
        <f t="shared" si="0"/>
        <v>3917.333333333333</v>
      </c>
      <c r="D19" s="11"/>
      <c r="E19" s="12">
        <f t="shared" si="1"/>
        <v>941.24</v>
      </c>
      <c r="F19" s="26">
        <f t="shared" si="2"/>
        <v>1468.9999999999998</v>
      </c>
      <c r="G19" s="11"/>
      <c r="H19" s="11">
        <f t="shared" si="3"/>
        <v>860</v>
      </c>
      <c r="I19" s="11"/>
      <c r="J19" s="11"/>
      <c r="K19" s="11">
        <f t="shared" si="4"/>
        <v>865.84</v>
      </c>
      <c r="N19" s="20">
        <f t="shared" si="5"/>
        <v>22.24563827663394</v>
      </c>
      <c r="P19" s="12">
        <f t="shared" si="14"/>
        <v>865.83934261277898</v>
      </c>
      <c r="Q19" s="11">
        <f t="shared" si="6"/>
        <v>5.839342612778978</v>
      </c>
      <c r="R19" s="13">
        <f t="shared" si="7"/>
        <v>6.7899332706732301E-3</v>
      </c>
      <c r="S19" s="13"/>
      <c r="T19" s="12">
        <f t="shared" si="15"/>
        <v>865.83934261277898</v>
      </c>
      <c r="U19" s="11">
        <f t="shared" si="16"/>
        <v>-6.5738722105379566E-4</v>
      </c>
      <c r="V19" s="13">
        <f t="shared" si="17"/>
        <v>-7.5924792231104549E-7</v>
      </c>
      <c r="X19" s="12">
        <f t="shared" si="8"/>
        <v>945.08511806699619</v>
      </c>
      <c r="Y19" s="12">
        <f t="shared" si="9"/>
        <v>3.8451180669961786</v>
      </c>
      <c r="Z19" s="13">
        <f t="shared" si="10"/>
        <v>4.0851621977350929E-3</v>
      </c>
      <c r="AB19" s="12">
        <f t="shared" si="11"/>
        <v>950.12880261613293</v>
      </c>
      <c r="AC19" s="12">
        <f t="shared" si="12"/>
        <v>8.8888026161329208</v>
      </c>
      <c r="AD19" s="13">
        <f t="shared" si="13"/>
        <v>9.4437153288565306E-3</v>
      </c>
      <c r="AE19" s="12"/>
    </row>
    <row r="20" spans="1:39" x14ac:dyDescent="0.35">
      <c r="A20" s="25">
        <v>-10</v>
      </c>
      <c r="B20" s="17">
        <v>960.86</v>
      </c>
      <c r="C20" s="26">
        <f t="shared" si="0"/>
        <v>3913.9999999999986</v>
      </c>
      <c r="D20" s="11"/>
      <c r="E20" s="12">
        <f t="shared" si="1"/>
        <v>960.86</v>
      </c>
      <c r="F20" s="26">
        <f t="shared" si="2"/>
        <v>1118.2857142857138</v>
      </c>
      <c r="G20" s="11"/>
      <c r="H20" s="11">
        <f t="shared" si="3"/>
        <v>877.5</v>
      </c>
      <c r="I20" s="11"/>
      <c r="J20" s="11"/>
      <c r="K20" s="11">
        <f t="shared" si="4"/>
        <v>882.61</v>
      </c>
      <c r="N20" s="20">
        <f t="shared" si="5"/>
        <v>22.676504793709938</v>
      </c>
      <c r="P20" s="12">
        <f t="shared" si="14"/>
        <v>882.60942478618142</v>
      </c>
      <c r="Q20" s="11">
        <f t="shared" si="6"/>
        <v>5.109424786181421</v>
      </c>
      <c r="R20" s="13">
        <f t="shared" si="7"/>
        <v>5.8227063090386562E-3</v>
      </c>
      <c r="S20" s="13"/>
      <c r="T20" s="12">
        <f t="shared" si="15"/>
        <v>882.60942478618142</v>
      </c>
      <c r="U20" s="11">
        <f t="shared" si="16"/>
        <v>-5.7521381859260146E-4</v>
      </c>
      <c r="V20" s="13">
        <f t="shared" si="17"/>
        <v>-6.5171912689931168E-7</v>
      </c>
      <c r="X20" s="12">
        <f t="shared" si="8"/>
        <v>963.39007871133072</v>
      </c>
      <c r="Y20" s="12">
        <f t="shared" si="9"/>
        <v>2.5300787113307024</v>
      </c>
      <c r="Z20" s="13">
        <f t="shared" si="10"/>
        <v>2.6331398032290888E-3</v>
      </c>
      <c r="AB20" s="12">
        <f t="shared" si="11"/>
        <v>968.53145228911615</v>
      </c>
      <c r="AC20" s="12">
        <f t="shared" si="12"/>
        <v>7.6714522891161323</v>
      </c>
      <c r="AD20" s="13">
        <f t="shared" si="13"/>
        <v>7.9839438514623697E-3</v>
      </c>
      <c r="AE20" s="12"/>
    </row>
    <row r="21" spans="1:39" x14ac:dyDescent="0.35">
      <c r="A21" s="25">
        <v>-5</v>
      </c>
      <c r="B21" s="17">
        <v>980.44</v>
      </c>
      <c r="C21" s="26">
        <f t="shared" si="0"/>
        <v>3911.9999999999886</v>
      </c>
      <c r="D21" s="11"/>
      <c r="E21" s="12">
        <f t="shared" si="1"/>
        <v>980.44</v>
      </c>
      <c r="F21" s="26">
        <f t="shared" si="2"/>
        <v>651.99999999999818</v>
      </c>
      <c r="G21" s="11"/>
      <c r="H21" s="11">
        <f t="shared" si="3"/>
        <v>895</v>
      </c>
      <c r="I21" s="11"/>
      <c r="J21" s="11"/>
      <c r="K21" s="11">
        <f t="shared" si="4"/>
        <v>899.38</v>
      </c>
      <c r="N21" s="20">
        <f t="shared" si="5"/>
        <v>23.107371310785943</v>
      </c>
      <c r="P21" s="12">
        <f t="shared" si="14"/>
        <v>899.37950695958421</v>
      </c>
      <c r="Q21" s="11">
        <f t="shared" si="6"/>
        <v>4.3795069595842051</v>
      </c>
      <c r="R21" s="13">
        <f t="shared" si="7"/>
        <v>4.8933038654572127E-3</v>
      </c>
      <c r="S21" s="13"/>
      <c r="T21" s="12">
        <f t="shared" si="15"/>
        <v>899.37950695958421</v>
      </c>
      <c r="U21" s="11">
        <f t="shared" si="16"/>
        <v>-4.9304041579034674E-4</v>
      </c>
      <c r="V21" s="13">
        <f t="shared" si="17"/>
        <v>-5.4820033333001265E-7</v>
      </c>
      <c r="X21" s="12">
        <f t="shared" si="8"/>
        <v>981.69503935566547</v>
      </c>
      <c r="Y21" s="12">
        <f t="shared" si="9"/>
        <v>1.2550393556654171</v>
      </c>
      <c r="Z21" s="13">
        <f t="shared" si="10"/>
        <v>1.2800776749881859E-3</v>
      </c>
      <c r="AB21" s="12">
        <f t="shared" si="11"/>
        <v>986.9341019620997</v>
      </c>
      <c r="AC21" s="12">
        <f t="shared" si="12"/>
        <v>6.4941019620996485</v>
      </c>
      <c r="AD21" s="13">
        <f t="shared" si="13"/>
        <v>6.6236607666962264E-3</v>
      </c>
      <c r="AE21" s="12"/>
    </row>
    <row r="22" spans="1:39" ht="13.15" x14ac:dyDescent="0.35">
      <c r="A22" s="31">
        <v>0</v>
      </c>
      <c r="B22" s="2">
        <v>1000</v>
      </c>
      <c r="C22" s="14">
        <v>0</v>
      </c>
      <c r="D22" s="1"/>
      <c r="E22" s="3">
        <f t="shared" si="1"/>
        <v>1000</v>
      </c>
      <c r="F22" s="14">
        <f t="shared" si="2"/>
        <v>0</v>
      </c>
      <c r="G22" s="1"/>
      <c r="H22" s="1">
        <f t="shared" si="3"/>
        <v>912.5</v>
      </c>
      <c r="I22" s="1"/>
      <c r="J22" s="1"/>
      <c r="K22" s="1">
        <f t="shared" si="4"/>
        <v>916.15</v>
      </c>
      <c r="L22" s="2"/>
      <c r="M22" s="2"/>
      <c r="N22" s="4">
        <f t="shared" si="5"/>
        <v>23.538237827861941</v>
      </c>
      <c r="O22" s="2"/>
      <c r="P22" s="3">
        <f t="shared" si="14"/>
        <v>916.14958913298688</v>
      </c>
      <c r="Q22" s="1">
        <f t="shared" si="6"/>
        <v>3.6495891329868755</v>
      </c>
      <c r="R22" s="10">
        <f t="shared" si="7"/>
        <v>3.9995497347801376E-3</v>
      </c>
      <c r="S22" s="10"/>
      <c r="T22" s="3">
        <f t="shared" si="15"/>
        <v>916.14958913298688</v>
      </c>
      <c r="U22" s="1">
        <f t="shared" si="16"/>
        <v>-4.1086701310177887E-4</v>
      </c>
      <c r="V22" s="10">
        <f t="shared" si="17"/>
        <v>-4.484713344995676E-7</v>
      </c>
      <c r="W22" s="2"/>
      <c r="X22" s="3">
        <f t="shared" si="8"/>
        <v>1000</v>
      </c>
      <c r="Y22" s="3">
        <f t="shared" si="9"/>
        <v>0</v>
      </c>
      <c r="Z22" s="10">
        <f t="shared" si="10"/>
        <v>0</v>
      </c>
      <c r="AA22" s="2"/>
      <c r="AB22" s="3">
        <f t="shared" si="11"/>
        <v>1005.336751635083</v>
      </c>
      <c r="AC22" s="3">
        <f t="shared" si="12"/>
        <v>5.3367516350830329</v>
      </c>
      <c r="AD22" s="10">
        <f t="shared" si="13"/>
        <v>5.3367516350830329E-3</v>
      </c>
      <c r="AF22" s="28" t="s">
        <v>43</v>
      </c>
    </row>
    <row r="23" spans="1:39" ht="13.15" x14ac:dyDescent="0.35">
      <c r="A23" s="31">
        <v>5</v>
      </c>
      <c r="B23" s="2">
        <v>1019.53</v>
      </c>
      <c r="C23" s="14">
        <f t="shared" ref="C23:C53" si="18">(1000000*(B23-$C$5))/(A23*$C$5)</f>
        <v>3905.999999999995</v>
      </c>
      <c r="D23" s="1"/>
      <c r="E23" s="3">
        <f t="shared" si="1"/>
        <v>1019.53</v>
      </c>
      <c r="F23" s="14">
        <f t="shared" si="2"/>
        <v>976.49999999999875</v>
      </c>
      <c r="G23" s="1"/>
      <c r="H23" s="1">
        <f t="shared" si="3"/>
        <v>930</v>
      </c>
      <c r="I23" s="1"/>
      <c r="J23" s="1"/>
      <c r="K23" s="1">
        <f t="shared" si="4"/>
        <v>932.92</v>
      </c>
      <c r="L23" s="2"/>
      <c r="M23" s="2"/>
      <c r="N23" s="4">
        <f t="shared" si="5"/>
        <v>23.969104344937946</v>
      </c>
      <c r="O23" s="2"/>
      <c r="P23" s="3">
        <f t="shared" si="14"/>
        <v>932.91967130638966</v>
      </c>
      <c r="Q23" s="1">
        <f t="shared" si="6"/>
        <v>2.9196713063896595</v>
      </c>
      <c r="R23" s="10">
        <f t="shared" si="7"/>
        <v>3.1394315122469456E-3</v>
      </c>
      <c r="S23" s="10"/>
      <c r="T23" s="3">
        <f t="shared" si="15"/>
        <v>932.91967130638966</v>
      </c>
      <c r="U23" s="1">
        <f t="shared" si="16"/>
        <v>-3.2869361029952415E-4</v>
      </c>
      <c r="V23" s="10">
        <f t="shared" si="17"/>
        <v>-3.5232775618437185E-7</v>
      </c>
      <c r="W23" s="2"/>
      <c r="X23" s="3">
        <f t="shared" si="8"/>
        <v>1018.3049606443349</v>
      </c>
      <c r="Y23" s="3">
        <f t="shared" si="9"/>
        <v>-1.2250393556651034</v>
      </c>
      <c r="Z23" s="10">
        <f t="shared" si="10"/>
        <v>-1.2015726419674785E-3</v>
      </c>
      <c r="AA23" s="2"/>
      <c r="AB23" s="3">
        <f t="shared" si="11"/>
        <v>1023.7394013080666</v>
      </c>
      <c r="AC23" s="3">
        <f t="shared" si="12"/>
        <v>4.2094013080666173</v>
      </c>
      <c r="AD23" s="10">
        <f t="shared" si="13"/>
        <v>4.1287664983537687E-3</v>
      </c>
      <c r="AF23" s="28" t="s">
        <v>51</v>
      </c>
    </row>
    <row r="24" spans="1:39" x14ac:dyDescent="0.35">
      <c r="A24" s="31">
        <v>10</v>
      </c>
      <c r="B24" s="2">
        <v>1039.03</v>
      </c>
      <c r="C24" s="14">
        <f t="shared" si="18"/>
        <v>3902.9999999999968</v>
      </c>
      <c r="D24" s="1"/>
      <c r="E24" s="3">
        <f t="shared" si="1"/>
        <v>1039.03</v>
      </c>
      <c r="F24" s="14">
        <f t="shared" si="2"/>
        <v>2601.9999999999982</v>
      </c>
      <c r="G24" s="1"/>
      <c r="H24" s="1">
        <f t="shared" si="3"/>
        <v>947.5</v>
      </c>
      <c r="I24" s="1"/>
      <c r="J24" s="1"/>
      <c r="K24" s="1">
        <f t="shared" si="4"/>
        <v>949.69</v>
      </c>
      <c r="L24" s="2"/>
      <c r="M24" s="2"/>
      <c r="N24" s="4">
        <f t="shared" si="5"/>
        <v>24.399970862013944</v>
      </c>
      <c r="O24" s="2"/>
      <c r="P24" s="3">
        <f t="shared" si="14"/>
        <v>949.6897534797921</v>
      </c>
      <c r="Q24" s="1">
        <f t="shared" si="6"/>
        <v>2.1897534797921026</v>
      </c>
      <c r="R24" s="10">
        <f t="shared" si="7"/>
        <v>2.311085466799053E-3</v>
      </c>
      <c r="S24" s="10"/>
      <c r="T24" s="3">
        <f t="shared" si="15"/>
        <v>949.6897534797921</v>
      </c>
      <c r="U24" s="1">
        <f t="shared" si="16"/>
        <v>-2.4652020795201679E-4</v>
      </c>
      <c r="V24" s="10">
        <f t="shared" si="17"/>
        <v>-2.5957966068087143E-7</v>
      </c>
      <c r="W24" s="2"/>
      <c r="X24" s="3">
        <f t="shared" si="8"/>
        <v>1036.6099212886693</v>
      </c>
      <c r="Y24" s="3">
        <f t="shared" si="9"/>
        <v>-2.4200787113306887</v>
      </c>
      <c r="Z24" s="10">
        <f t="shared" si="10"/>
        <v>-2.3291711609199819E-3</v>
      </c>
      <c r="AA24" s="2"/>
      <c r="AB24" s="3">
        <f t="shared" si="11"/>
        <v>1042.1420509810498</v>
      </c>
      <c r="AC24" s="3">
        <f t="shared" si="12"/>
        <v>3.1120509810498334</v>
      </c>
      <c r="AD24" s="10">
        <f t="shared" si="13"/>
        <v>2.9951502661615483E-3</v>
      </c>
    </row>
    <row r="25" spans="1:39" x14ac:dyDescent="0.35">
      <c r="A25" s="31">
        <v>15</v>
      </c>
      <c r="B25" s="2">
        <v>1058.49</v>
      </c>
      <c r="C25" s="14">
        <f t="shared" si="18"/>
        <v>3899.3333333333339</v>
      </c>
      <c r="D25" s="1"/>
      <c r="E25" s="3">
        <f t="shared" si="1"/>
        <v>1058.49</v>
      </c>
      <c r="F25" s="14">
        <f t="shared" si="2"/>
        <v>5849.0000000000009</v>
      </c>
      <c r="G25" s="1"/>
      <c r="H25" s="1">
        <f t="shared" si="3"/>
        <v>965</v>
      </c>
      <c r="I25" s="1"/>
      <c r="J25" s="1"/>
      <c r="K25" s="1">
        <f t="shared" si="4"/>
        <v>966.46</v>
      </c>
      <c r="L25" s="2"/>
      <c r="M25" s="2"/>
      <c r="N25" s="4">
        <f t="shared" si="5"/>
        <v>24.830837379089949</v>
      </c>
      <c r="O25" s="2"/>
      <c r="P25" s="3">
        <f t="shared" si="14"/>
        <v>966.45983565319489</v>
      </c>
      <c r="Q25" s="1">
        <f t="shared" si="6"/>
        <v>1.4598356531948866</v>
      </c>
      <c r="R25" s="10">
        <f t="shared" si="7"/>
        <v>1.5127830603055819E-3</v>
      </c>
      <c r="S25" s="10"/>
      <c r="T25" s="3">
        <f t="shared" si="15"/>
        <v>966.45983565319489</v>
      </c>
      <c r="U25" s="1">
        <f t="shared" si="16"/>
        <v>-1.6434680514976208E-4</v>
      </c>
      <c r="V25" s="10">
        <f t="shared" si="17"/>
        <v>-1.7005029194147928E-7</v>
      </c>
      <c r="W25" s="2"/>
      <c r="X25" s="3">
        <f t="shared" si="8"/>
        <v>1054.9148819330042</v>
      </c>
      <c r="Y25" s="3">
        <f t="shared" si="9"/>
        <v>-3.5751180669958558</v>
      </c>
      <c r="Z25" s="10">
        <f t="shared" si="10"/>
        <v>-3.3775643293709489E-3</v>
      </c>
      <c r="AA25" s="2"/>
      <c r="AB25" s="3">
        <f t="shared" si="11"/>
        <v>1060.5447006540335</v>
      </c>
      <c r="AC25" s="3">
        <f t="shared" si="12"/>
        <v>2.0547006540334678</v>
      </c>
      <c r="AD25" s="10">
        <f t="shared" si="13"/>
        <v>1.9411620837546579E-3</v>
      </c>
      <c r="AF25" s="12" t="s">
        <v>42</v>
      </c>
      <c r="AG25" s="12">
        <f>H27</f>
        <v>1000</v>
      </c>
    </row>
    <row r="26" spans="1:39" x14ac:dyDescent="0.35">
      <c r="A26" s="31">
        <v>20</v>
      </c>
      <c r="B26" s="2">
        <v>1077.94</v>
      </c>
      <c r="C26" s="14">
        <f t="shared" si="18"/>
        <v>3897.0000000000032</v>
      </c>
      <c r="D26" s="1"/>
      <c r="E26" s="3">
        <f t="shared" si="1"/>
        <v>1077.94</v>
      </c>
      <c r="F26" s="14">
        <f t="shared" si="2"/>
        <v>15588.000000000013</v>
      </c>
      <c r="G26" s="1"/>
      <c r="H26" s="1">
        <f>$I$5+((A26-25)*$I$5*$I$6/1000000)</f>
        <v>982.5</v>
      </c>
      <c r="I26" s="1"/>
      <c r="J26" s="1"/>
      <c r="K26" s="1">
        <f t="shared" si="4"/>
        <v>983.23</v>
      </c>
      <c r="L26" s="2"/>
      <c r="M26" s="2"/>
      <c r="N26" s="4">
        <f t="shared" si="5"/>
        <v>25.261703896165947</v>
      </c>
      <c r="O26" s="2"/>
      <c r="P26" s="3">
        <f t="shared" si="14"/>
        <v>983.22991782659756</v>
      </c>
      <c r="Q26" s="1">
        <f t="shared" si="6"/>
        <v>0.729917826597557</v>
      </c>
      <c r="R26" s="10">
        <f t="shared" si="7"/>
        <v>7.429189074784295E-4</v>
      </c>
      <c r="S26" s="10"/>
      <c r="T26" s="3">
        <f t="shared" si="15"/>
        <v>983.22991782659756</v>
      </c>
      <c r="U26" s="1">
        <f t="shared" si="16"/>
        <v>-8.21734024611942E-5</v>
      </c>
      <c r="V26" s="10">
        <f t="shared" si="17"/>
        <v>-8.3574954447275004E-8</v>
      </c>
      <c r="W26" s="2"/>
      <c r="X26" s="3">
        <f t="shared" si="8"/>
        <v>1073.2198425773386</v>
      </c>
      <c r="Y26" s="3">
        <f t="shared" si="9"/>
        <v>-4.7201574226614866</v>
      </c>
      <c r="Z26" s="10">
        <f t="shared" si="10"/>
        <v>-4.3788684181508119E-3</v>
      </c>
      <c r="AA26" s="2"/>
      <c r="AB26" s="3">
        <f t="shared" si="11"/>
        <v>1078.9473503270167</v>
      </c>
      <c r="AC26" s="3">
        <f t="shared" si="12"/>
        <v>1.0073503270166384</v>
      </c>
      <c r="AD26" s="10">
        <f t="shared" si="13"/>
        <v>9.345142837418023E-4</v>
      </c>
      <c r="AF26" s="12" t="s">
        <v>36</v>
      </c>
      <c r="AG26" s="17">
        <v>57600</v>
      </c>
    </row>
    <row r="27" spans="1:39" x14ac:dyDescent="0.35">
      <c r="A27" s="31">
        <v>25</v>
      </c>
      <c r="B27" s="2">
        <v>1097.3499999999999</v>
      </c>
      <c r="C27" s="14">
        <f t="shared" si="18"/>
        <v>3893.9999999999964</v>
      </c>
      <c r="D27" s="1"/>
      <c r="E27" s="3">
        <f t="shared" si="1"/>
        <v>1097.3499999999999</v>
      </c>
      <c r="F27" s="14">
        <v>0</v>
      </c>
      <c r="G27" s="1"/>
      <c r="H27" s="1">
        <f t="shared" ref="H27:H53" si="19">$I$5+((A27-25)*$I$5*$I$6/1000000)</f>
        <v>1000</v>
      </c>
      <c r="I27" s="1"/>
      <c r="J27" s="1"/>
      <c r="K27" s="1">
        <f t="shared" si="4"/>
        <v>1000</v>
      </c>
      <c r="L27" s="2"/>
      <c r="M27" s="2"/>
      <c r="N27" s="4">
        <f t="shared" si="5"/>
        <v>25.692570413241945</v>
      </c>
      <c r="O27" s="2"/>
      <c r="P27" s="3">
        <f t="shared" si="14"/>
        <v>1000</v>
      </c>
      <c r="Q27" s="1">
        <f t="shared" si="6"/>
        <v>0</v>
      </c>
      <c r="R27" s="10">
        <f t="shared" si="7"/>
        <v>0</v>
      </c>
      <c r="S27" s="10"/>
      <c r="T27" s="3">
        <f t="shared" si="15"/>
        <v>1000</v>
      </c>
      <c r="U27" s="1">
        <f t="shared" si="16"/>
        <v>0</v>
      </c>
      <c r="V27" s="10">
        <f t="shared" si="17"/>
        <v>0</v>
      </c>
      <c r="W27" s="2"/>
      <c r="X27" s="3">
        <f t="shared" si="8"/>
        <v>1091.5248032216732</v>
      </c>
      <c r="Y27" s="3">
        <f t="shared" si="9"/>
        <v>-5.8251967783266991</v>
      </c>
      <c r="Z27" s="10">
        <f t="shared" si="10"/>
        <v>-5.3084219057973293E-3</v>
      </c>
      <c r="AA27" s="2"/>
      <c r="AB27" s="3">
        <f t="shared" si="11"/>
        <v>1097.3499999999999</v>
      </c>
      <c r="AC27" s="3">
        <f t="shared" si="12"/>
        <v>0</v>
      </c>
      <c r="AD27" s="10">
        <f t="shared" si="13"/>
        <v>0</v>
      </c>
      <c r="AF27" s="12" t="s">
        <v>37</v>
      </c>
      <c r="AG27" s="12">
        <f>AB27</f>
        <v>1097.3499999999999</v>
      </c>
    </row>
    <row r="28" spans="1:39" x14ac:dyDescent="0.35">
      <c r="A28" s="32">
        <v>30</v>
      </c>
      <c r="B28" s="5">
        <v>1116.73</v>
      </c>
      <c r="C28" s="15">
        <f t="shared" si="18"/>
        <v>3891.0000000000005</v>
      </c>
      <c r="D28" s="6"/>
      <c r="E28" s="7">
        <f t="shared" si="1"/>
        <v>1116.73</v>
      </c>
      <c r="F28" s="15">
        <f t="shared" ref="F28:F53" si="20">(1000000*ABS(E28-$C$5))/(ABS(25-A28)*$C$5)</f>
        <v>23346.000000000004</v>
      </c>
      <c r="G28" s="6"/>
      <c r="H28" s="6">
        <f t="shared" si="19"/>
        <v>1017.5</v>
      </c>
      <c r="I28" s="6"/>
      <c r="J28" s="6"/>
      <c r="K28" s="6">
        <f t="shared" si="4"/>
        <v>1016.77</v>
      </c>
      <c r="L28" s="5"/>
      <c r="M28" s="5"/>
      <c r="N28" s="8">
        <f t="shared" si="5"/>
        <v>26.123436930317951</v>
      </c>
      <c r="O28" s="5"/>
      <c r="P28" s="7">
        <f t="shared" si="14"/>
        <v>1016.7700821734027</v>
      </c>
      <c r="Q28" s="6">
        <f t="shared" si="6"/>
        <v>-0.72991782659732962</v>
      </c>
      <c r="R28" s="9">
        <f t="shared" si="7"/>
        <v>-7.1736395734381289E-4</v>
      </c>
      <c r="S28" s="9"/>
      <c r="T28" s="7">
        <f t="shared" si="15"/>
        <v>1016.7700821734027</v>
      </c>
      <c r="U28" s="6">
        <f t="shared" si="16"/>
        <v>8.2173402688567876E-5</v>
      </c>
      <c r="V28" s="9">
        <f t="shared" si="17"/>
        <v>8.0818083429455908E-8</v>
      </c>
      <c r="W28" s="5"/>
      <c r="X28" s="7">
        <f t="shared" si="8"/>
        <v>1109.8297638660076</v>
      </c>
      <c r="Y28" s="7">
        <f t="shared" si="9"/>
        <v>-6.9002361339923937</v>
      </c>
      <c r="Z28" s="9">
        <f t="shared" si="10"/>
        <v>-6.1789654920996065E-3</v>
      </c>
      <c r="AA28" s="5"/>
      <c r="AB28" s="7">
        <f t="shared" si="11"/>
        <v>1115.7526496729834</v>
      </c>
      <c r="AC28" s="7">
        <f t="shared" si="12"/>
        <v>-0.97735032701666569</v>
      </c>
      <c r="AD28" s="9">
        <f t="shared" si="13"/>
        <v>-8.7518946120966189E-4</v>
      </c>
    </row>
    <row r="29" spans="1:39" x14ac:dyDescent="0.35">
      <c r="A29" s="31">
        <v>35</v>
      </c>
      <c r="B29" s="2">
        <v>1136.08</v>
      </c>
      <c r="C29" s="14">
        <f t="shared" si="18"/>
        <v>3887.9999999999982</v>
      </c>
      <c r="D29" s="1"/>
      <c r="E29" s="3">
        <f t="shared" si="1"/>
        <v>1136.08</v>
      </c>
      <c r="F29" s="14">
        <f t="shared" si="20"/>
        <v>13607.999999999995</v>
      </c>
      <c r="G29" s="1"/>
      <c r="H29" s="1">
        <f t="shared" si="19"/>
        <v>1035</v>
      </c>
      <c r="I29" s="1"/>
      <c r="J29" s="1"/>
      <c r="K29" s="1">
        <f t="shared" si="4"/>
        <v>1033.54</v>
      </c>
      <c r="L29" s="2"/>
      <c r="M29" s="2"/>
      <c r="N29" s="4">
        <f t="shared" si="5"/>
        <v>26.554303447393949</v>
      </c>
      <c r="O29" s="2"/>
      <c r="P29" s="3">
        <f t="shared" si="14"/>
        <v>1033.5401643468053</v>
      </c>
      <c r="Q29" s="1">
        <f t="shared" si="6"/>
        <v>-1.4598356531946592</v>
      </c>
      <c r="R29" s="10">
        <f t="shared" si="7"/>
        <v>-1.4104692301397674E-3</v>
      </c>
      <c r="S29" s="10"/>
      <c r="T29" s="3">
        <f t="shared" si="15"/>
        <v>1033.5401643468053</v>
      </c>
      <c r="U29" s="1">
        <f t="shared" si="16"/>
        <v>1.6434680537713575E-4</v>
      </c>
      <c r="V29" s="10">
        <f t="shared" si="17"/>
        <v>1.5901349282769487E-7</v>
      </c>
      <c r="W29" s="2"/>
      <c r="X29" s="3">
        <f t="shared" si="8"/>
        <v>1128.1347245103423</v>
      </c>
      <c r="Y29" s="3">
        <f t="shared" si="9"/>
        <v>-7.9452754896576607</v>
      </c>
      <c r="Z29" s="10">
        <f t="shared" si="10"/>
        <v>-6.9935880304711475E-3</v>
      </c>
      <c r="AA29" s="2"/>
      <c r="AB29" s="3">
        <f t="shared" si="11"/>
        <v>1134.1552993459668</v>
      </c>
      <c r="AC29" s="3">
        <f t="shared" si="12"/>
        <v>-1.9247006540331313</v>
      </c>
      <c r="AD29" s="10">
        <f t="shared" si="13"/>
        <v>-1.6941594377448167E-3</v>
      </c>
      <c r="AF29" s="17" t="s">
        <v>50</v>
      </c>
      <c r="AG29" s="12">
        <f>((AG26/(AG25+AG26))*AG27)/(1-(AG26/(AG25+AG26)))</f>
        <v>63207.359999999877</v>
      </c>
    </row>
    <row r="30" spans="1:39" x14ac:dyDescent="0.35">
      <c r="A30" s="31">
        <v>40</v>
      </c>
      <c r="B30" s="2">
        <v>1155.4100000000001</v>
      </c>
      <c r="C30" s="14">
        <f t="shared" si="18"/>
        <v>3885.2500000000023</v>
      </c>
      <c r="D30" s="1"/>
      <c r="E30" s="3">
        <f t="shared" si="1"/>
        <v>1155.4100000000001</v>
      </c>
      <c r="F30" s="14">
        <f t="shared" si="20"/>
        <v>10360.666666666673</v>
      </c>
      <c r="G30" s="1"/>
      <c r="H30" s="1">
        <f t="shared" si="19"/>
        <v>1052.5</v>
      </c>
      <c r="I30" s="1"/>
      <c r="J30" s="1"/>
      <c r="K30" s="1">
        <f t="shared" si="4"/>
        <v>1050.31</v>
      </c>
      <c r="L30" s="2"/>
      <c r="M30" s="2"/>
      <c r="N30" s="4">
        <f t="shared" si="5"/>
        <v>26.98516996446995</v>
      </c>
      <c r="O30" s="2"/>
      <c r="P30" s="3">
        <f t="shared" si="14"/>
        <v>1050.310246520208</v>
      </c>
      <c r="Q30" s="1">
        <f t="shared" si="6"/>
        <v>-2.1897534797919889</v>
      </c>
      <c r="R30" s="10">
        <f t="shared" si="7"/>
        <v>-2.0805258715363316E-3</v>
      </c>
      <c r="S30" s="10"/>
      <c r="T30" s="3">
        <f t="shared" si="15"/>
        <v>1050.310246520208</v>
      </c>
      <c r="U30" s="1">
        <f t="shared" si="16"/>
        <v>2.4652020806570363E-4</v>
      </c>
      <c r="V30" s="10">
        <f t="shared" si="17"/>
        <v>2.3471185465786639E-7</v>
      </c>
      <c r="W30" s="2"/>
      <c r="X30" s="3">
        <f t="shared" si="8"/>
        <v>1146.4396851546769</v>
      </c>
      <c r="Y30" s="3">
        <f t="shared" si="9"/>
        <v>-8.9703148453231734</v>
      </c>
      <c r="Z30" s="10">
        <f t="shared" si="10"/>
        <v>-7.7637503962430417E-3</v>
      </c>
      <c r="AA30" s="2"/>
      <c r="AB30" s="3">
        <f t="shared" si="11"/>
        <v>1152.5579490189502</v>
      </c>
      <c r="AC30" s="3">
        <f t="shared" si="12"/>
        <v>-2.8520509810498424</v>
      </c>
      <c r="AD30" s="10">
        <f t="shared" si="13"/>
        <v>-2.4684319687815082E-3</v>
      </c>
    </row>
    <row r="31" spans="1:39" ht="13.15" x14ac:dyDescent="0.35">
      <c r="A31" s="31">
        <v>45</v>
      </c>
      <c r="B31" s="2">
        <v>1174.7</v>
      </c>
      <c r="C31" s="14">
        <f t="shared" si="18"/>
        <v>3882.2222222222235</v>
      </c>
      <c r="D31" s="1"/>
      <c r="E31" s="3">
        <f t="shared" si="1"/>
        <v>1174.7</v>
      </c>
      <c r="F31" s="14">
        <f t="shared" si="20"/>
        <v>8735.0000000000036</v>
      </c>
      <c r="G31" s="1"/>
      <c r="H31" s="1">
        <f t="shared" si="19"/>
        <v>1070</v>
      </c>
      <c r="I31" s="1"/>
      <c r="J31" s="1"/>
      <c r="K31" s="1">
        <f t="shared" si="4"/>
        <v>1067.08</v>
      </c>
      <c r="L31" s="2"/>
      <c r="M31" s="2"/>
      <c r="N31" s="4">
        <f t="shared" si="5"/>
        <v>27.416036481545952</v>
      </c>
      <c r="O31" s="2"/>
      <c r="P31" s="3">
        <f t="shared" si="14"/>
        <v>1067.0803286936107</v>
      </c>
      <c r="Q31" s="1">
        <f t="shared" si="6"/>
        <v>-2.9196713063893185</v>
      </c>
      <c r="R31" s="10">
        <f t="shared" si="7"/>
        <v>-2.7286647723264658E-3</v>
      </c>
      <c r="S31" s="10"/>
      <c r="T31" s="3">
        <f t="shared" si="15"/>
        <v>1067.0803286936107</v>
      </c>
      <c r="U31" s="1">
        <f t="shared" si="16"/>
        <v>3.286936107542715E-4</v>
      </c>
      <c r="V31" s="10">
        <f t="shared" si="17"/>
        <v>3.0803089810911226E-7</v>
      </c>
      <c r="W31" s="2"/>
      <c r="X31" s="3">
        <f t="shared" si="8"/>
        <v>1164.7446457990116</v>
      </c>
      <c r="Y31" s="3">
        <f t="shared" si="9"/>
        <v>-9.955354200988495</v>
      </c>
      <c r="Z31" s="10">
        <f t="shared" si="10"/>
        <v>-8.4748056533485092E-3</v>
      </c>
      <c r="AA31" s="2"/>
      <c r="AB31" s="3">
        <f t="shared" si="11"/>
        <v>1170.9605986919335</v>
      </c>
      <c r="AC31" s="3">
        <f t="shared" si="12"/>
        <v>-3.73940130806659</v>
      </c>
      <c r="AD31" s="10">
        <f t="shared" si="13"/>
        <v>-3.1832819511931469E-3</v>
      </c>
      <c r="AF31" s="16" t="s">
        <v>49</v>
      </c>
    </row>
    <row r="32" spans="1:39" x14ac:dyDescent="0.35">
      <c r="A32" s="31">
        <v>50</v>
      </c>
      <c r="B32" s="2">
        <v>1193.97</v>
      </c>
      <c r="C32" s="14">
        <f t="shared" si="18"/>
        <v>3879.4000000000005</v>
      </c>
      <c r="D32" s="1"/>
      <c r="E32" s="3">
        <f t="shared" si="1"/>
        <v>1193.97</v>
      </c>
      <c r="F32" s="14">
        <f t="shared" si="20"/>
        <v>7758.8000000000011</v>
      </c>
      <c r="G32" s="1"/>
      <c r="H32" s="1">
        <f t="shared" si="19"/>
        <v>1087.5</v>
      </c>
      <c r="I32" s="1"/>
      <c r="J32" s="1"/>
      <c r="K32" s="1">
        <f t="shared" si="4"/>
        <v>1083.8499999999999</v>
      </c>
      <c r="L32" s="2"/>
      <c r="M32" s="2"/>
      <c r="N32" s="4">
        <f t="shared" si="5"/>
        <v>27.846902998621953</v>
      </c>
      <c r="O32" s="2"/>
      <c r="P32" s="3">
        <f t="shared" si="14"/>
        <v>1083.8504108670134</v>
      </c>
      <c r="Q32" s="1">
        <f t="shared" si="6"/>
        <v>-3.6495891329866481</v>
      </c>
      <c r="R32" s="10">
        <f t="shared" si="7"/>
        <v>-3.3559440303325499E-3</v>
      </c>
      <c r="S32" s="10"/>
      <c r="T32" s="3">
        <f t="shared" si="15"/>
        <v>1083.8504108670134</v>
      </c>
      <c r="U32" s="1">
        <f t="shared" si="16"/>
        <v>4.1086701344283938E-4</v>
      </c>
      <c r="V32" s="10">
        <f t="shared" si="17"/>
        <v>3.7908106605419516E-7</v>
      </c>
      <c r="W32" s="2"/>
      <c r="X32" s="3">
        <f t="shared" si="8"/>
        <v>1183.0496064433462</v>
      </c>
      <c r="Y32" s="3">
        <f t="shared" si="9"/>
        <v>-10.920393556653835</v>
      </c>
      <c r="Z32" s="10">
        <f t="shared" si="10"/>
        <v>-9.1462880613866638E-3</v>
      </c>
      <c r="AA32" s="2"/>
      <c r="AB32" s="3">
        <f t="shared" si="11"/>
        <v>1189.3632483649169</v>
      </c>
      <c r="AC32" s="3">
        <f t="shared" si="12"/>
        <v>-4.6067516350831283</v>
      </c>
      <c r="AD32" s="10">
        <f t="shared" si="13"/>
        <v>-3.8583478940703102E-3</v>
      </c>
      <c r="AF32" s="17" t="s">
        <v>48</v>
      </c>
      <c r="AH32" s="29"/>
    </row>
    <row r="33" spans="1:34" x14ac:dyDescent="0.35">
      <c r="A33" s="31">
        <v>55</v>
      </c>
      <c r="B33" s="2">
        <v>1213.21</v>
      </c>
      <c r="C33" s="14">
        <f t="shared" si="18"/>
        <v>3876.545454545455</v>
      </c>
      <c r="D33" s="1"/>
      <c r="E33" s="3">
        <f t="shared" si="1"/>
        <v>1213.21</v>
      </c>
      <c r="F33" s="14">
        <f t="shared" si="20"/>
        <v>7107.0000000000009</v>
      </c>
      <c r="G33" s="1"/>
      <c r="H33" s="1">
        <f t="shared" si="19"/>
        <v>1105</v>
      </c>
      <c r="I33" s="1"/>
      <c r="J33" s="1"/>
      <c r="K33" s="1">
        <f t="shared" si="4"/>
        <v>1100.6199999999999</v>
      </c>
      <c r="L33" s="2"/>
      <c r="M33" s="2"/>
      <c r="N33" s="4">
        <f t="shared" si="5"/>
        <v>28.277769515697955</v>
      </c>
      <c r="O33" s="2"/>
      <c r="P33" s="3">
        <f t="shared" si="14"/>
        <v>1100.620493040416</v>
      </c>
      <c r="Q33" s="1">
        <f t="shared" si="6"/>
        <v>-4.3795069595839777</v>
      </c>
      <c r="R33" s="10">
        <f t="shared" si="7"/>
        <v>-3.9633547145556357E-3</v>
      </c>
      <c r="S33" s="10"/>
      <c r="T33" s="3">
        <f t="shared" si="15"/>
        <v>1100.620493040416</v>
      </c>
      <c r="U33" s="1">
        <f t="shared" si="16"/>
        <v>4.9304041613140726E-4</v>
      </c>
      <c r="V33" s="10">
        <f t="shared" si="17"/>
        <v>4.4796607015264788E-7</v>
      </c>
      <c r="W33" s="2"/>
      <c r="X33" s="3">
        <f t="shared" si="8"/>
        <v>1201.3545670876808</v>
      </c>
      <c r="Y33" s="3">
        <f t="shared" si="9"/>
        <v>-11.855432912319202</v>
      </c>
      <c r="Z33" s="10">
        <f t="shared" si="10"/>
        <v>-9.7719544945386212E-3</v>
      </c>
      <c r="AA33" s="2"/>
      <c r="AB33" s="3">
        <f t="shared" si="11"/>
        <v>1207.7658980379003</v>
      </c>
      <c r="AC33" s="3">
        <f t="shared" si="12"/>
        <v>-5.444101962099694</v>
      </c>
      <c r="AD33" s="10">
        <f t="shared" si="13"/>
        <v>-4.487353353582392E-3</v>
      </c>
      <c r="AF33" s="17" t="s">
        <v>47</v>
      </c>
    </row>
    <row r="34" spans="1:34" x14ac:dyDescent="0.35">
      <c r="A34" s="25">
        <v>60</v>
      </c>
      <c r="B34" s="17">
        <v>1232.42</v>
      </c>
      <c r="C34" s="26">
        <f t="shared" si="18"/>
        <v>3873.6666666666679</v>
      </c>
      <c r="D34" s="11"/>
      <c r="E34" s="12">
        <f t="shared" si="1"/>
        <v>1232.42</v>
      </c>
      <c r="F34" s="26">
        <f t="shared" si="20"/>
        <v>6640.5714285714303</v>
      </c>
      <c r="G34" s="11"/>
      <c r="H34" s="11">
        <f t="shared" si="19"/>
        <v>1122.5</v>
      </c>
      <c r="I34" s="11"/>
      <c r="J34" s="11"/>
      <c r="K34" s="11">
        <f t="shared" si="4"/>
        <v>1117.3900000000001</v>
      </c>
      <c r="N34" s="20">
        <f t="shared" si="5"/>
        <v>28.708636032773956</v>
      </c>
      <c r="P34" s="12">
        <f t="shared" si="14"/>
        <v>1117.3905752138187</v>
      </c>
      <c r="Q34" s="11">
        <f t="shared" si="6"/>
        <v>-5.1094247861813074</v>
      </c>
      <c r="R34" s="13">
        <f t="shared" si="7"/>
        <v>-4.5518260901392495E-3</v>
      </c>
      <c r="S34" s="13"/>
      <c r="T34" s="12">
        <f t="shared" si="15"/>
        <v>1117.3905752138187</v>
      </c>
      <c r="U34" s="11">
        <f t="shared" si="16"/>
        <v>5.7521381859260146E-4</v>
      </c>
      <c r="V34" s="13">
        <f t="shared" si="17"/>
        <v>5.1478339576387955E-7</v>
      </c>
      <c r="X34" s="12">
        <f t="shared" si="8"/>
        <v>1219.6595277320155</v>
      </c>
      <c r="Y34" s="12">
        <f t="shared" si="9"/>
        <v>-12.760472267984596</v>
      </c>
      <c r="Z34" s="13">
        <f t="shared" si="10"/>
        <v>-1.0353996420039107E-2</v>
      </c>
      <c r="AB34" s="12">
        <f t="shared" si="11"/>
        <v>1226.1685477108838</v>
      </c>
      <c r="AC34" s="12">
        <f t="shared" si="12"/>
        <v>-6.2514522891162869</v>
      </c>
      <c r="AD34" s="13">
        <f t="shared" si="13"/>
        <v>-5.0725014922804613E-3</v>
      </c>
      <c r="AE34" s="12"/>
    </row>
    <row r="35" spans="1:34" x14ac:dyDescent="0.35">
      <c r="A35" s="25">
        <v>65</v>
      </c>
      <c r="B35" s="17">
        <v>1251.5999999999999</v>
      </c>
      <c r="C35" s="26">
        <f t="shared" si="18"/>
        <v>3870.7692307692296</v>
      </c>
      <c r="D35" s="11"/>
      <c r="E35" s="12">
        <f t="shared" si="1"/>
        <v>1251.5999999999999</v>
      </c>
      <c r="F35" s="26">
        <f t="shared" si="20"/>
        <v>6289.9999999999982</v>
      </c>
      <c r="G35" s="11"/>
      <c r="H35" s="11">
        <f t="shared" si="19"/>
        <v>1140</v>
      </c>
      <c r="I35" s="11"/>
      <c r="J35" s="11"/>
      <c r="K35" s="11">
        <f t="shared" si="4"/>
        <v>1134.1600000000001</v>
      </c>
      <c r="N35" s="20">
        <f t="shared" si="5"/>
        <v>29.139502549849954</v>
      </c>
      <c r="P35" s="12">
        <f t="shared" si="14"/>
        <v>1134.1606573872211</v>
      </c>
      <c r="Q35" s="11">
        <f t="shared" si="6"/>
        <v>-5.8393426127788643</v>
      </c>
      <c r="R35" s="13">
        <f t="shared" si="7"/>
        <v>-5.1222303620867228E-3</v>
      </c>
      <c r="S35" s="13"/>
      <c r="T35" s="12">
        <f t="shared" si="15"/>
        <v>1134.1606573872211</v>
      </c>
      <c r="U35" s="11">
        <f t="shared" si="16"/>
        <v>6.5738722105379566E-4</v>
      </c>
      <c r="V35" s="13">
        <f t="shared" si="17"/>
        <v>5.7962476286749278E-7</v>
      </c>
      <c r="X35" s="12">
        <f t="shared" si="8"/>
        <v>1237.9644883763499</v>
      </c>
      <c r="Y35" s="12">
        <f t="shared" si="9"/>
        <v>-13.635511623650018</v>
      </c>
      <c r="Z35" s="13">
        <f t="shared" si="10"/>
        <v>-1.0894464384507845E-2</v>
      </c>
      <c r="AB35" s="12">
        <f t="shared" si="11"/>
        <v>1244.571197383867</v>
      </c>
      <c r="AC35" s="12">
        <f t="shared" si="12"/>
        <v>-7.0288026161329071</v>
      </c>
      <c r="AD35" s="13">
        <f t="shared" si="13"/>
        <v>-5.6158538000422717E-3</v>
      </c>
      <c r="AE35" s="12"/>
    </row>
    <row r="36" spans="1:34" x14ac:dyDescent="0.35">
      <c r="A36" s="25">
        <v>70</v>
      </c>
      <c r="B36" s="17">
        <v>1270.75</v>
      </c>
      <c r="C36" s="26">
        <f t="shared" si="18"/>
        <v>3867.8571428571427</v>
      </c>
      <c r="D36" s="11"/>
      <c r="E36" s="12">
        <f t="shared" si="1"/>
        <v>1270.75</v>
      </c>
      <c r="F36" s="26">
        <f t="shared" si="20"/>
        <v>6016.666666666667</v>
      </c>
      <c r="G36" s="11"/>
      <c r="H36" s="11">
        <f t="shared" si="19"/>
        <v>1157.5</v>
      </c>
      <c r="I36" s="11"/>
      <c r="J36" s="11"/>
      <c r="K36" s="11">
        <f t="shared" si="4"/>
        <v>1150.93</v>
      </c>
      <c r="N36" s="20">
        <f t="shared" si="5"/>
        <v>29.570369066925959</v>
      </c>
      <c r="P36" s="12">
        <f t="shared" si="14"/>
        <v>1150.930739560624</v>
      </c>
      <c r="Q36" s="11">
        <f t="shared" si="6"/>
        <v>-6.5692604393759666</v>
      </c>
      <c r="R36" s="13">
        <f t="shared" si="7"/>
        <v>-5.675386988661742E-3</v>
      </c>
      <c r="S36" s="13"/>
      <c r="T36" s="12">
        <f t="shared" si="15"/>
        <v>1150.930739560624</v>
      </c>
      <c r="U36" s="11">
        <f t="shared" si="16"/>
        <v>7.3956062396973721E-4</v>
      </c>
      <c r="V36" s="13">
        <f t="shared" si="17"/>
        <v>6.4257654589743695E-7</v>
      </c>
      <c r="X36" s="12">
        <f t="shared" si="8"/>
        <v>1256.2694490206848</v>
      </c>
      <c r="Y36" s="12">
        <f t="shared" si="9"/>
        <v>-14.48055097931524</v>
      </c>
      <c r="Z36" s="13">
        <f t="shared" si="10"/>
        <v>-1.1395279149569341E-2</v>
      </c>
      <c r="AB36" s="12">
        <f t="shared" si="11"/>
        <v>1262.9738470568507</v>
      </c>
      <c r="AC36" s="12">
        <f t="shared" si="12"/>
        <v>-7.7761529431493273</v>
      </c>
      <c r="AD36" s="13">
        <f t="shared" si="13"/>
        <v>-6.1193412891200685E-3</v>
      </c>
      <c r="AE36" s="12"/>
    </row>
    <row r="37" spans="1:34" x14ac:dyDescent="0.35">
      <c r="A37" s="25">
        <v>75</v>
      </c>
      <c r="B37" s="17">
        <v>1289.8699999999999</v>
      </c>
      <c r="C37" s="26">
        <f t="shared" si="18"/>
        <v>3864.9333333333316</v>
      </c>
      <c r="D37" s="11"/>
      <c r="E37" s="12">
        <f t="shared" si="1"/>
        <v>1289.8699999999999</v>
      </c>
      <c r="F37" s="26">
        <f t="shared" si="20"/>
        <v>5797.3999999999978</v>
      </c>
      <c r="G37" s="11"/>
      <c r="H37" s="11">
        <f t="shared" si="19"/>
        <v>1175</v>
      </c>
      <c r="I37" s="11"/>
      <c r="J37" s="11"/>
      <c r="K37" s="11">
        <f t="shared" si="4"/>
        <v>1167.7</v>
      </c>
      <c r="N37" s="20">
        <f t="shared" si="5"/>
        <v>30.001235584001957</v>
      </c>
      <c r="P37" s="12">
        <f t="shared" si="14"/>
        <v>1167.7008217340265</v>
      </c>
      <c r="Q37" s="11">
        <f t="shared" si="6"/>
        <v>-7.2991782659735236</v>
      </c>
      <c r="R37" s="13">
        <f t="shared" si="7"/>
        <v>-6.212066609339169E-3</v>
      </c>
      <c r="S37" s="13"/>
      <c r="T37" s="12">
        <f t="shared" si="15"/>
        <v>1167.7008217340265</v>
      </c>
      <c r="U37" s="11">
        <f t="shared" si="16"/>
        <v>8.2173402643093141E-4</v>
      </c>
      <c r="V37" s="13">
        <f t="shared" si="17"/>
        <v>7.0372015623099371E-7</v>
      </c>
      <c r="X37" s="12">
        <f t="shared" si="8"/>
        <v>1274.5744096650192</v>
      </c>
      <c r="Y37" s="12">
        <f t="shared" si="9"/>
        <v>-15.295590334980716</v>
      </c>
      <c r="Z37" s="13">
        <f t="shared" si="10"/>
        <v>-1.1858241787917168E-2</v>
      </c>
      <c r="AB37" s="12">
        <f t="shared" si="11"/>
        <v>1281.3764967298339</v>
      </c>
      <c r="AC37" s="12">
        <f t="shared" si="12"/>
        <v>-8.493503270166002</v>
      </c>
      <c r="AD37" s="13">
        <f t="shared" si="13"/>
        <v>-6.5847746440850646E-3</v>
      </c>
      <c r="AE37" s="12"/>
    </row>
    <row r="38" spans="1:34" x14ac:dyDescent="0.35">
      <c r="A38" s="25">
        <v>80</v>
      </c>
      <c r="B38" s="17">
        <v>1308.97</v>
      </c>
      <c r="C38" s="26">
        <f t="shared" si="18"/>
        <v>3862.125</v>
      </c>
      <c r="D38" s="11"/>
      <c r="E38" s="12">
        <f t="shared" si="1"/>
        <v>1308.97</v>
      </c>
      <c r="F38" s="26">
        <f t="shared" si="20"/>
        <v>5617.636363636364</v>
      </c>
      <c r="G38" s="11"/>
      <c r="H38" s="11">
        <f t="shared" si="19"/>
        <v>1192.5</v>
      </c>
      <c r="I38" s="11"/>
      <c r="J38" s="11"/>
      <c r="K38" s="11">
        <f t="shared" si="4"/>
        <v>1184.47</v>
      </c>
      <c r="N38" s="20">
        <f t="shared" si="5"/>
        <v>30.432102101077962</v>
      </c>
      <c r="P38" s="12">
        <f t="shared" si="14"/>
        <v>1184.4709039074294</v>
      </c>
      <c r="Q38" s="11">
        <f t="shared" si="6"/>
        <v>-8.0290960925706258</v>
      </c>
      <c r="R38" s="13">
        <f t="shared" si="7"/>
        <v>-6.7329946268936064E-3</v>
      </c>
      <c r="S38" s="13"/>
      <c r="T38" s="12">
        <f t="shared" si="15"/>
        <v>1184.4709039074294</v>
      </c>
      <c r="U38" s="11">
        <f t="shared" si="16"/>
        <v>9.0390742934687296E-4</v>
      </c>
      <c r="V38" s="13">
        <f t="shared" si="17"/>
        <v>7.6313239621676615E-7</v>
      </c>
      <c r="X38" s="12">
        <f t="shared" si="8"/>
        <v>1292.879370309354</v>
      </c>
      <c r="Y38" s="12">
        <f t="shared" si="9"/>
        <v>-16.090629690645983</v>
      </c>
      <c r="Z38" s="13">
        <f t="shared" si="10"/>
        <v>-1.2292588593051011E-2</v>
      </c>
      <c r="AB38" s="12">
        <f t="shared" si="11"/>
        <v>1299.7791464028173</v>
      </c>
      <c r="AC38" s="12">
        <f t="shared" si="12"/>
        <v>-9.190853597182695</v>
      </c>
      <c r="AD38" s="13">
        <f t="shared" si="13"/>
        <v>-7.0214394502415602E-3</v>
      </c>
      <c r="AE38" s="12"/>
    </row>
    <row r="39" spans="1:34" x14ac:dyDescent="0.35">
      <c r="A39" s="25">
        <v>85</v>
      </c>
      <c r="B39" s="17">
        <v>1328.03</v>
      </c>
      <c r="C39" s="26">
        <f t="shared" si="18"/>
        <v>3859.1764705882351</v>
      </c>
      <c r="D39" s="11"/>
      <c r="E39" s="12">
        <f t="shared" si="1"/>
        <v>1328.03</v>
      </c>
      <c r="F39" s="26">
        <f t="shared" si="20"/>
        <v>5467.166666666667</v>
      </c>
      <c r="G39" s="11"/>
      <c r="H39" s="11">
        <f t="shared" si="19"/>
        <v>1210</v>
      </c>
      <c r="I39" s="11"/>
      <c r="J39" s="11"/>
      <c r="K39" s="11">
        <f t="shared" si="4"/>
        <v>1201.24</v>
      </c>
      <c r="N39" s="20">
        <f t="shared" si="5"/>
        <v>30.86296861815396</v>
      </c>
      <c r="P39" s="12">
        <f t="shared" si="14"/>
        <v>1201.240986080832</v>
      </c>
      <c r="Q39" s="11">
        <f t="shared" si="6"/>
        <v>-8.7590139191679555</v>
      </c>
      <c r="R39" s="13">
        <f t="shared" si="7"/>
        <v>-7.2388544786512032E-3</v>
      </c>
      <c r="S39" s="13"/>
      <c r="T39" s="12">
        <f t="shared" si="15"/>
        <v>1201.240986080832</v>
      </c>
      <c r="U39" s="11">
        <f t="shared" si="16"/>
        <v>9.8608083203544084E-4</v>
      </c>
      <c r="V39" s="13">
        <f t="shared" si="17"/>
        <v>8.2088577805887316E-7</v>
      </c>
      <c r="X39" s="12">
        <f t="shared" si="8"/>
        <v>1311.1843309536885</v>
      </c>
      <c r="Y39" s="12">
        <f t="shared" si="9"/>
        <v>-16.845669046311514</v>
      </c>
      <c r="Z39" s="13">
        <f t="shared" si="10"/>
        <v>-1.2684705199665304E-2</v>
      </c>
      <c r="AB39" s="12">
        <f t="shared" si="11"/>
        <v>1318.1817960758008</v>
      </c>
      <c r="AC39" s="12">
        <f t="shared" si="12"/>
        <v>-9.848203924199197</v>
      </c>
      <c r="AD39" s="13">
        <f t="shared" si="13"/>
        <v>-7.4156486857971564E-3</v>
      </c>
      <c r="AE39" s="12"/>
    </row>
    <row r="40" spans="1:34" x14ac:dyDescent="0.35">
      <c r="A40" s="25">
        <v>90</v>
      </c>
      <c r="B40" s="17">
        <v>1347.07</v>
      </c>
      <c r="C40" s="26">
        <f t="shared" si="18"/>
        <v>3856.3333333333326</v>
      </c>
      <c r="D40" s="11"/>
      <c r="E40" s="12">
        <f t="shared" si="1"/>
        <v>1347.07</v>
      </c>
      <c r="F40" s="26">
        <f t="shared" si="20"/>
        <v>5339.538461538461</v>
      </c>
      <c r="G40" s="11"/>
      <c r="H40" s="11">
        <f t="shared" si="19"/>
        <v>1227.5</v>
      </c>
      <c r="I40" s="11"/>
      <c r="J40" s="11"/>
      <c r="K40" s="11">
        <f t="shared" si="4"/>
        <v>1218.01</v>
      </c>
      <c r="N40" s="20">
        <f t="shared" si="5"/>
        <v>31.293835135229966</v>
      </c>
      <c r="P40" s="12">
        <f t="shared" si="14"/>
        <v>1218.0110682542347</v>
      </c>
      <c r="Q40" s="11">
        <f t="shared" si="6"/>
        <v>-9.4889317457652851</v>
      </c>
      <c r="R40" s="13">
        <f t="shared" si="7"/>
        <v>-7.7302906279146924E-3</v>
      </c>
      <c r="S40" s="13"/>
      <c r="T40" s="12">
        <f t="shared" si="15"/>
        <v>1218.0110682542347</v>
      </c>
      <c r="U40" s="11">
        <f t="shared" si="16"/>
        <v>1.0682542347240087E-3</v>
      </c>
      <c r="V40" s="13">
        <f t="shared" si="17"/>
        <v>8.7704882121165563E-7</v>
      </c>
      <c r="X40" s="12">
        <f t="shared" si="8"/>
        <v>1329.4892915980231</v>
      </c>
      <c r="Y40" s="12">
        <f t="shared" si="9"/>
        <v>-17.580708401976835</v>
      </c>
      <c r="Z40" s="13">
        <f t="shared" si="10"/>
        <v>-1.3051072625755777E-2</v>
      </c>
      <c r="AB40" s="12">
        <f t="shared" si="11"/>
        <v>1336.5844457487842</v>
      </c>
      <c r="AC40" s="12">
        <f t="shared" si="12"/>
        <v>-10.485554251215717</v>
      </c>
      <c r="AD40" s="13">
        <f t="shared" si="13"/>
        <v>-7.7839713238478459E-3</v>
      </c>
      <c r="AE40" s="12"/>
    </row>
    <row r="41" spans="1:34" x14ac:dyDescent="0.35">
      <c r="A41" s="25">
        <v>95</v>
      </c>
      <c r="B41" s="17">
        <v>1366.08</v>
      </c>
      <c r="C41" s="26">
        <f t="shared" si="18"/>
        <v>3853.4736842105258</v>
      </c>
      <c r="D41" s="11"/>
      <c r="E41" s="12">
        <f t="shared" si="1"/>
        <v>1366.08</v>
      </c>
      <c r="F41" s="26">
        <f t="shared" si="20"/>
        <v>5229.7142857142844</v>
      </c>
      <c r="G41" s="11"/>
      <c r="H41" s="11">
        <f t="shared" si="19"/>
        <v>1245</v>
      </c>
      <c r="I41" s="11"/>
      <c r="J41" s="11"/>
      <c r="K41" s="11">
        <f t="shared" si="4"/>
        <v>1234.78</v>
      </c>
      <c r="N41" s="20">
        <f t="shared" si="5"/>
        <v>31.724701652305964</v>
      </c>
      <c r="P41" s="12">
        <f t="shared" si="14"/>
        <v>1234.7811504276372</v>
      </c>
      <c r="Q41" s="11">
        <f t="shared" si="6"/>
        <v>-10.218849572362842</v>
      </c>
      <c r="R41" s="13">
        <f t="shared" si="7"/>
        <v>-8.2079113031026836E-3</v>
      </c>
      <c r="S41" s="13"/>
      <c r="T41" s="12">
        <f t="shared" si="15"/>
        <v>1234.7811504276372</v>
      </c>
      <c r="U41" s="11">
        <f t="shared" si="16"/>
        <v>1.1504276371852029E-3</v>
      </c>
      <c r="V41" s="13">
        <f t="shared" si="17"/>
        <v>9.3168632240982434E-7</v>
      </c>
      <c r="X41" s="12">
        <f t="shared" si="8"/>
        <v>1347.7942522423577</v>
      </c>
      <c r="Y41" s="12">
        <f t="shared" si="9"/>
        <v>-18.285747757642184</v>
      </c>
      <c r="Z41" s="13">
        <f t="shared" si="10"/>
        <v>-1.3385561429522564E-2</v>
      </c>
      <c r="AB41" s="12">
        <f t="shared" si="11"/>
        <v>1354.9870954217674</v>
      </c>
      <c r="AC41" s="12">
        <f t="shared" si="12"/>
        <v>-11.092904578232492</v>
      </c>
      <c r="AD41" s="13">
        <f t="shared" si="13"/>
        <v>-8.1202452112852045E-3</v>
      </c>
      <c r="AE41" s="12"/>
      <c r="AH41" s="29"/>
    </row>
    <row r="42" spans="1:34" x14ac:dyDescent="0.35">
      <c r="A42" s="25">
        <v>100</v>
      </c>
      <c r="B42" s="17">
        <v>1385.06</v>
      </c>
      <c r="C42" s="26">
        <f t="shared" si="18"/>
        <v>3850.5999999999995</v>
      </c>
      <c r="D42" s="11"/>
      <c r="E42" s="12">
        <f t="shared" si="1"/>
        <v>1385.06</v>
      </c>
      <c r="F42" s="26">
        <f t="shared" si="20"/>
        <v>5134.1333333333323</v>
      </c>
      <c r="G42" s="11"/>
      <c r="H42" s="11">
        <f t="shared" si="19"/>
        <v>1262.5</v>
      </c>
      <c r="I42" s="11"/>
      <c r="J42" s="11"/>
      <c r="K42" s="11">
        <f t="shared" si="4"/>
        <v>1251.55</v>
      </c>
      <c r="N42" s="20">
        <f t="shared" si="5"/>
        <v>32.155568169381965</v>
      </c>
      <c r="P42" s="12">
        <f t="shared" si="14"/>
        <v>1251.5512326010398</v>
      </c>
      <c r="Q42" s="11">
        <f t="shared" si="6"/>
        <v>-10.948767398960172</v>
      </c>
      <c r="R42" s="13">
        <f t="shared" si="7"/>
        <v>-8.6722910090773642E-3</v>
      </c>
      <c r="S42" s="13"/>
      <c r="T42" s="12">
        <f t="shared" si="15"/>
        <v>1251.5512326010398</v>
      </c>
      <c r="U42" s="11">
        <f t="shared" si="16"/>
        <v>1.2326010398737708E-3</v>
      </c>
      <c r="V42" s="13">
        <f t="shared" si="17"/>
        <v>9.8485960598759212E-7</v>
      </c>
      <c r="X42" s="12">
        <f t="shared" si="8"/>
        <v>1366.0992128866924</v>
      </c>
      <c r="Y42" s="12">
        <f t="shared" si="9"/>
        <v>-18.960787113307561</v>
      </c>
      <c r="Z42" s="13">
        <f t="shared" si="10"/>
        <v>-1.3689505951588785E-2</v>
      </c>
      <c r="AB42" s="12">
        <f t="shared" si="11"/>
        <v>1373.3897450947509</v>
      </c>
      <c r="AC42" s="12">
        <f t="shared" si="12"/>
        <v>-11.670254905249067</v>
      </c>
      <c r="AD42" s="13">
        <f t="shared" si="13"/>
        <v>-8.4258118097765202E-3</v>
      </c>
      <c r="AE42" s="12"/>
    </row>
    <row r="43" spans="1:34" ht="13.15" x14ac:dyDescent="0.35">
      <c r="A43" s="25">
        <v>105</v>
      </c>
      <c r="B43" s="17">
        <v>1404</v>
      </c>
      <c r="C43" s="26">
        <f t="shared" si="18"/>
        <v>3847.6190476190477</v>
      </c>
      <c r="D43" s="11"/>
      <c r="E43" s="12">
        <f t="shared" si="1"/>
        <v>1404</v>
      </c>
      <c r="F43" s="26">
        <f t="shared" si="20"/>
        <v>5050</v>
      </c>
      <c r="G43" s="11"/>
      <c r="H43" s="11">
        <f t="shared" si="19"/>
        <v>1280</v>
      </c>
      <c r="I43" s="11"/>
      <c r="J43" s="11"/>
      <c r="K43" s="11">
        <f t="shared" si="4"/>
        <v>1268.32</v>
      </c>
      <c r="N43" s="20">
        <f t="shared" si="5"/>
        <v>32.586434686457963</v>
      </c>
      <c r="P43" s="12">
        <f t="shared" si="14"/>
        <v>1268.3213147744423</v>
      </c>
      <c r="Q43" s="11">
        <f t="shared" si="6"/>
        <v>-11.678685225557729</v>
      </c>
      <c r="R43" s="13">
        <f t="shared" si="7"/>
        <v>-9.1239728324669749E-3</v>
      </c>
      <c r="S43" s="13"/>
      <c r="T43" s="12">
        <f t="shared" si="15"/>
        <v>1268.3213147744423</v>
      </c>
      <c r="U43" s="11">
        <f t="shared" si="16"/>
        <v>1.314774442334965E-3</v>
      </c>
      <c r="V43" s="13">
        <f t="shared" si="17"/>
        <v>1.036626752187906E-6</v>
      </c>
      <c r="X43" s="12">
        <f t="shared" si="8"/>
        <v>1384.4041735310268</v>
      </c>
      <c r="Y43" s="12">
        <f t="shared" si="9"/>
        <v>-19.5958264689732</v>
      </c>
      <c r="Z43" s="13">
        <f t="shared" si="10"/>
        <v>-1.3957141359667522E-2</v>
      </c>
      <c r="AB43" s="12">
        <f t="shared" si="11"/>
        <v>1391.7923947677341</v>
      </c>
      <c r="AC43" s="12">
        <f t="shared" si="12"/>
        <v>-12.207605232265905</v>
      </c>
      <c r="AD43" s="13">
        <f t="shared" si="13"/>
        <v>-8.6948755215569117E-3</v>
      </c>
      <c r="AE43" s="12"/>
      <c r="AF43" s="16"/>
    </row>
    <row r="44" spans="1:34" x14ac:dyDescent="0.35">
      <c r="A44" s="25">
        <v>110</v>
      </c>
      <c r="B44" s="17">
        <v>1422.93</v>
      </c>
      <c r="C44" s="26">
        <f t="shared" si="18"/>
        <v>3844.8181818181824</v>
      </c>
      <c r="D44" s="11"/>
      <c r="E44" s="12">
        <f t="shared" si="1"/>
        <v>1422.93</v>
      </c>
      <c r="F44" s="26">
        <f t="shared" si="20"/>
        <v>4975.6470588235297</v>
      </c>
      <c r="G44" s="11"/>
      <c r="H44" s="11">
        <f t="shared" si="19"/>
        <v>1297.5</v>
      </c>
      <c r="I44" s="11"/>
      <c r="J44" s="11"/>
      <c r="K44" s="11">
        <f t="shared" si="4"/>
        <v>1285.0899999999999</v>
      </c>
      <c r="N44" s="20">
        <f t="shared" si="5"/>
        <v>33.017301203533968</v>
      </c>
      <c r="P44" s="12">
        <f t="shared" si="14"/>
        <v>1285.0913969478452</v>
      </c>
      <c r="Q44" s="11">
        <f t="shared" si="6"/>
        <v>-12.408603052154831</v>
      </c>
      <c r="R44" s="13">
        <f t="shared" si="7"/>
        <v>-9.563470560427615E-3</v>
      </c>
      <c r="S44" s="13"/>
      <c r="T44" s="12">
        <f t="shared" si="15"/>
        <v>1285.0913969478452</v>
      </c>
      <c r="U44" s="11">
        <f t="shared" si="16"/>
        <v>1.3969478452509065E-3</v>
      </c>
      <c r="V44" s="13">
        <f t="shared" si="17"/>
        <v>1.0870428104264345E-6</v>
      </c>
      <c r="X44" s="12">
        <f t="shared" si="8"/>
        <v>1402.7091341753617</v>
      </c>
      <c r="Y44" s="12">
        <f t="shared" si="9"/>
        <v>-20.220865824638395</v>
      </c>
      <c r="Z44" s="13">
        <f t="shared" si="10"/>
        <v>-1.4210724227220169E-2</v>
      </c>
      <c r="AB44" s="12">
        <f t="shared" si="11"/>
        <v>1410.1950444407178</v>
      </c>
      <c r="AC44" s="12">
        <f t="shared" si="12"/>
        <v>-12.734955559282298</v>
      </c>
      <c r="AD44" s="13">
        <f t="shared" si="13"/>
        <v>-8.949811697892586E-3</v>
      </c>
      <c r="AE44" s="12"/>
      <c r="AF44" s="12"/>
    </row>
    <row r="45" spans="1:34" x14ac:dyDescent="0.35">
      <c r="A45" s="25">
        <v>115</v>
      </c>
      <c r="B45" s="17">
        <v>1441.82</v>
      </c>
      <c r="C45" s="26">
        <f t="shared" si="18"/>
        <v>3841.9130434782605</v>
      </c>
      <c r="D45" s="11"/>
      <c r="E45" s="12">
        <f t="shared" si="1"/>
        <v>1441.82</v>
      </c>
      <c r="F45" s="26">
        <f t="shared" si="20"/>
        <v>4909.1111111111104</v>
      </c>
      <c r="G45" s="11"/>
      <c r="H45" s="11">
        <f t="shared" si="19"/>
        <v>1315</v>
      </c>
      <c r="I45" s="11"/>
      <c r="J45" s="11"/>
      <c r="K45" s="11">
        <f t="shared" si="4"/>
        <v>1301.8600000000001</v>
      </c>
      <c r="N45" s="20">
        <f t="shared" si="5"/>
        <v>33.448167720609966</v>
      </c>
      <c r="P45" s="12">
        <f t="shared" si="14"/>
        <v>1301.8614791212476</v>
      </c>
      <c r="Q45" s="11">
        <f t="shared" si="6"/>
        <v>-13.138520878752388</v>
      </c>
      <c r="R45" s="13">
        <f t="shared" si="7"/>
        <v>-9.9912706302299533E-3</v>
      </c>
      <c r="S45" s="13"/>
      <c r="T45" s="12">
        <f t="shared" si="15"/>
        <v>1301.8614791212476</v>
      </c>
      <c r="U45" s="11">
        <f t="shared" si="16"/>
        <v>1.4791212474847271E-3</v>
      </c>
      <c r="V45" s="13">
        <f t="shared" si="17"/>
        <v>1.1361599922301375E-6</v>
      </c>
      <c r="X45" s="12">
        <f t="shared" si="8"/>
        <v>1421.0140948196961</v>
      </c>
      <c r="Y45" s="12">
        <f t="shared" si="9"/>
        <v>-20.805905180303853</v>
      </c>
      <c r="Z45" s="13">
        <f t="shared" si="10"/>
        <v>-1.4430306959470568E-2</v>
      </c>
      <c r="AB45" s="12">
        <f t="shared" si="11"/>
        <v>1428.597694113701</v>
      </c>
      <c r="AC45" s="12">
        <f t="shared" si="12"/>
        <v>-13.222305886298955</v>
      </c>
      <c r="AD45" s="13">
        <f t="shared" si="13"/>
        <v>-9.1705662886483446E-3</v>
      </c>
      <c r="AE45" s="12"/>
      <c r="AG45" s="30"/>
    </row>
    <row r="46" spans="1:34" x14ac:dyDescent="0.35">
      <c r="A46" s="25">
        <v>120</v>
      </c>
      <c r="B46" s="17">
        <v>1460.68</v>
      </c>
      <c r="C46" s="26">
        <f t="shared" si="18"/>
        <v>3839.0000000000005</v>
      </c>
      <c r="D46" s="11"/>
      <c r="E46" s="12">
        <f t="shared" si="1"/>
        <v>1460.68</v>
      </c>
      <c r="F46" s="26">
        <f t="shared" si="20"/>
        <v>4849.2631578947376</v>
      </c>
      <c r="G46" s="11"/>
      <c r="H46" s="11">
        <f t="shared" si="19"/>
        <v>1332.5</v>
      </c>
      <c r="I46" s="11"/>
      <c r="J46" s="11"/>
      <c r="K46" s="11">
        <f t="shared" si="4"/>
        <v>1318.63</v>
      </c>
      <c r="N46" s="20">
        <f t="shared" si="5"/>
        <v>33.879034237685971</v>
      </c>
      <c r="P46" s="12">
        <f t="shared" si="14"/>
        <v>1318.6315612946507</v>
      </c>
      <c r="Q46" s="11">
        <f t="shared" si="6"/>
        <v>-13.868438705349263</v>
      </c>
      <c r="R46" s="13">
        <f t="shared" si="7"/>
        <v>-1.0407833925215207E-2</v>
      </c>
      <c r="S46" s="13"/>
      <c r="T46" s="12">
        <f t="shared" si="15"/>
        <v>1318.6315612946507</v>
      </c>
      <c r="U46" s="11">
        <f t="shared" si="16"/>
        <v>1.5612946506280423E-3</v>
      </c>
      <c r="V46" s="13">
        <f t="shared" si="17"/>
        <v>1.1840278551436279E-6</v>
      </c>
      <c r="X46" s="12">
        <f t="shared" si="8"/>
        <v>1439.319055464031</v>
      </c>
      <c r="Y46" s="12">
        <f t="shared" si="9"/>
        <v>-21.360944535969111</v>
      </c>
      <c r="Z46" s="13">
        <f t="shared" si="10"/>
        <v>-1.4623972763349338E-2</v>
      </c>
      <c r="AB46" s="12">
        <f t="shared" si="11"/>
        <v>1447.0003437866847</v>
      </c>
      <c r="AC46" s="12">
        <f t="shared" si="12"/>
        <v>-13.679656213315411</v>
      </c>
      <c r="AD46" s="13">
        <f t="shared" si="13"/>
        <v>-9.3652656388226105E-3</v>
      </c>
      <c r="AE46" s="12"/>
    </row>
    <row r="47" spans="1:34" x14ac:dyDescent="0.35">
      <c r="A47" s="25">
        <v>125</v>
      </c>
      <c r="B47" s="17">
        <v>1479.51</v>
      </c>
      <c r="C47" s="26">
        <f t="shared" si="18"/>
        <v>3836.08</v>
      </c>
      <c r="D47" s="11"/>
      <c r="E47" s="12">
        <f t="shared" si="1"/>
        <v>1479.51</v>
      </c>
      <c r="F47" s="26">
        <f t="shared" si="20"/>
        <v>4795.1000000000004</v>
      </c>
      <c r="G47" s="11"/>
      <c r="H47" s="11">
        <f t="shared" si="19"/>
        <v>1350</v>
      </c>
      <c r="I47" s="11"/>
      <c r="J47" s="11"/>
      <c r="K47" s="11">
        <f t="shared" si="4"/>
        <v>1335.4</v>
      </c>
      <c r="N47" s="20">
        <f t="shared" si="5"/>
        <v>34.309900754761969</v>
      </c>
      <c r="P47" s="12">
        <f t="shared" si="14"/>
        <v>1335.4016434680532</v>
      </c>
      <c r="Q47" s="11">
        <f t="shared" si="6"/>
        <v>-14.59835653194682</v>
      </c>
      <c r="R47" s="13">
        <f t="shared" si="7"/>
        <v>-1.0813597431071718E-2</v>
      </c>
      <c r="S47" s="13"/>
      <c r="T47" s="12">
        <f t="shared" si="15"/>
        <v>1335.4016434680532</v>
      </c>
      <c r="U47" s="11">
        <f t="shared" si="16"/>
        <v>1.6434680530892365E-3</v>
      </c>
      <c r="V47" s="13">
        <f t="shared" si="17"/>
        <v>1.2306934649462607E-6</v>
      </c>
      <c r="X47" s="12">
        <f t="shared" si="8"/>
        <v>1457.6240161083654</v>
      </c>
      <c r="Y47" s="12">
        <f t="shared" si="9"/>
        <v>-21.885983891634623</v>
      </c>
      <c r="Z47" s="13">
        <f t="shared" si="10"/>
        <v>-1.4792724545041686E-2</v>
      </c>
      <c r="AB47" s="12">
        <f t="shared" si="11"/>
        <v>1465.4029934596679</v>
      </c>
      <c r="AC47" s="12">
        <f t="shared" si="12"/>
        <v>-14.107006540332122</v>
      </c>
      <c r="AD47" s="13">
        <f t="shared" si="13"/>
        <v>-9.5349180068618148E-3</v>
      </c>
      <c r="AE47" s="12"/>
      <c r="AH47" s="29"/>
    </row>
    <row r="48" spans="1:34" x14ac:dyDescent="0.35">
      <c r="A48" s="25">
        <v>130</v>
      </c>
      <c r="B48" s="17">
        <v>1498.32</v>
      </c>
      <c r="C48" s="26">
        <f t="shared" si="18"/>
        <v>3833.2307692307686</v>
      </c>
      <c r="D48" s="11"/>
      <c r="E48" s="12">
        <f t="shared" si="1"/>
        <v>1498.32</v>
      </c>
      <c r="F48" s="26">
        <f t="shared" si="20"/>
        <v>4745.9047619047615</v>
      </c>
      <c r="G48" s="11"/>
      <c r="H48" s="11">
        <f t="shared" si="19"/>
        <v>1367.5</v>
      </c>
      <c r="I48" s="11"/>
      <c r="J48" s="11"/>
      <c r="K48" s="11">
        <f t="shared" si="4"/>
        <v>1352.17</v>
      </c>
      <c r="N48" s="20">
        <f t="shared" si="5"/>
        <v>34.740767271837967</v>
      </c>
      <c r="P48" s="12">
        <f t="shared" si="14"/>
        <v>1352.1717256414556</v>
      </c>
      <c r="Q48" s="11">
        <f t="shared" si="6"/>
        <v>-15.328274358544377</v>
      </c>
      <c r="R48" s="13">
        <f t="shared" si="7"/>
        <v>-1.1208975764931902E-2</v>
      </c>
      <c r="S48" s="13"/>
      <c r="T48" s="12">
        <f t="shared" si="15"/>
        <v>1352.1717256414556</v>
      </c>
      <c r="U48" s="11">
        <f t="shared" si="16"/>
        <v>1.7256414555504307E-3</v>
      </c>
      <c r="V48" s="13">
        <f t="shared" si="17"/>
        <v>1.2762015542057808E-6</v>
      </c>
      <c r="X48" s="12">
        <f t="shared" si="8"/>
        <v>1475.9289767526998</v>
      </c>
      <c r="Y48" s="12">
        <f t="shared" si="9"/>
        <v>-22.391023247300154</v>
      </c>
      <c r="Z48" s="13">
        <f t="shared" si="10"/>
        <v>-1.4944086208086493E-2</v>
      </c>
      <c r="AB48" s="12">
        <f t="shared" si="11"/>
        <v>1483.8056431326511</v>
      </c>
      <c r="AC48" s="12">
        <f t="shared" si="12"/>
        <v>-14.514356867348852</v>
      </c>
      <c r="AD48" s="13">
        <f t="shared" si="13"/>
        <v>-9.6870874495093521E-3</v>
      </c>
      <c r="AE48" s="12"/>
      <c r="AF48" s="12"/>
    </row>
    <row r="49" spans="1:32" x14ac:dyDescent="0.35">
      <c r="A49" s="25">
        <v>135</v>
      </c>
      <c r="B49" s="17">
        <v>1517.1</v>
      </c>
      <c r="C49" s="26">
        <f t="shared" si="18"/>
        <v>3830.3703703703695</v>
      </c>
      <c r="D49" s="11"/>
      <c r="E49" s="12">
        <f t="shared" si="1"/>
        <v>1517.1</v>
      </c>
      <c r="F49" s="26">
        <f t="shared" si="20"/>
        <v>4700.9090909090901</v>
      </c>
      <c r="G49" s="11"/>
      <c r="H49" s="11">
        <f t="shared" si="19"/>
        <v>1385</v>
      </c>
      <c r="I49" s="11"/>
      <c r="J49" s="11"/>
      <c r="K49" s="11">
        <f t="shared" si="4"/>
        <v>1368.94</v>
      </c>
      <c r="N49" s="20">
        <f t="shared" si="5"/>
        <v>35.171633788913972</v>
      </c>
      <c r="P49" s="12">
        <f t="shared" si="14"/>
        <v>1368.9418078148583</v>
      </c>
      <c r="Q49" s="11">
        <f t="shared" si="6"/>
        <v>-16.058192185141706</v>
      </c>
      <c r="R49" s="13">
        <f t="shared" si="7"/>
        <v>-1.1594362588549968E-2</v>
      </c>
      <c r="S49" s="13"/>
      <c r="T49" s="12">
        <f t="shared" si="15"/>
        <v>1368.9418078148583</v>
      </c>
      <c r="U49" s="11">
        <f t="shared" si="16"/>
        <v>1.8078148582389986E-3</v>
      </c>
      <c r="V49" s="13">
        <f t="shared" si="17"/>
        <v>1.3205946631985322E-6</v>
      </c>
      <c r="X49" s="12">
        <f t="shared" si="8"/>
        <v>1494.2339373970347</v>
      </c>
      <c r="Y49" s="12">
        <f t="shared" si="9"/>
        <v>-22.866062602965258</v>
      </c>
      <c r="Z49" s="13">
        <f t="shared" si="10"/>
        <v>-1.5072218445036754E-2</v>
      </c>
      <c r="AB49" s="12">
        <f t="shared" si="11"/>
        <v>1502.2082928056345</v>
      </c>
      <c r="AC49" s="12">
        <f t="shared" si="12"/>
        <v>-14.891707194365381</v>
      </c>
      <c r="AD49" s="13">
        <f t="shared" si="13"/>
        <v>-9.8159034963848004E-3</v>
      </c>
      <c r="AE49" s="12"/>
      <c r="AF49" s="12"/>
    </row>
    <row r="50" spans="1:32" x14ac:dyDescent="0.35">
      <c r="A50" s="25">
        <v>140</v>
      </c>
      <c r="B50" s="17">
        <v>1535.84</v>
      </c>
      <c r="C50" s="26">
        <f t="shared" si="18"/>
        <v>3827.4285714285711</v>
      </c>
      <c r="D50" s="11"/>
      <c r="E50" s="12">
        <f t="shared" si="1"/>
        <v>1535.84</v>
      </c>
      <c r="F50" s="26">
        <f t="shared" si="20"/>
        <v>4659.478260869565</v>
      </c>
      <c r="G50" s="11"/>
      <c r="H50" s="11">
        <f t="shared" si="19"/>
        <v>1402.5</v>
      </c>
      <c r="I50" s="11"/>
      <c r="J50" s="11"/>
      <c r="K50" s="11">
        <f t="shared" si="4"/>
        <v>1385.71</v>
      </c>
      <c r="N50" s="20">
        <f t="shared" si="5"/>
        <v>35.60250030598997</v>
      </c>
      <c r="P50" s="12">
        <f t="shared" si="14"/>
        <v>1385.711889988261</v>
      </c>
      <c r="Q50" s="11">
        <f t="shared" si="6"/>
        <v>-16.788110011739036</v>
      </c>
      <c r="R50" s="13">
        <f t="shared" si="7"/>
        <v>-1.1970131915678457E-2</v>
      </c>
      <c r="S50" s="13"/>
      <c r="T50" s="12">
        <f t="shared" si="15"/>
        <v>1385.711889988261</v>
      </c>
      <c r="U50" s="11">
        <f t="shared" si="16"/>
        <v>1.8899882609275664E-3</v>
      </c>
      <c r="V50" s="13">
        <f t="shared" si="17"/>
        <v>1.3639132725660972E-6</v>
      </c>
      <c r="X50" s="12">
        <f t="shared" si="8"/>
        <v>1512.5388980413693</v>
      </c>
      <c r="Y50" s="12">
        <f t="shared" si="9"/>
        <v>-23.301101958630625</v>
      </c>
      <c r="Z50" s="13">
        <f t="shared" si="10"/>
        <v>-1.5171568626048694E-2</v>
      </c>
      <c r="AB50" s="12">
        <f t="shared" si="11"/>
        <v>1520.6109424786182</v>
      </c>
      <c r="AC50" s="12">
        <f t="shared" si="12"/>
        <v>-15.229057521381719</v>
      </c>
      <c r="AD50" s="13">
        <f t="shared" si="13"/>
        <v>-9.9157838846375412E-3</v>
      </c>
      <c r="AE50" s="12"/>
      <c r="AF50" s="12"/>
    </row>
    <row r="51" spans="1:32" x14ac:dyDescent="0.35">
      <c r="A51" s="25">
        <v>145</v>
      </c>
      <c r="B51" s="17">
        <v>1554.56</v>
      </c>
      <c r="C51" s="26">
        <f t="shared" si="18"/>
        <v>3824.5517241379312</v>
      </c>
      <c r="D51" s="11"/>
      <c r="E51" s="12">
        <f t="shared" si="1"/>
        <v>1554.56</v>
      </c>
      <c r="F51" s="26">
        <f t="shared" si="20"/>
        <v>4621.333333333333</v>
      </c>
      <c r="G51" s="11"/>
      <c r="H51" s="11">
        <f t="shared" si="19"/>
        <v>1420</v>
      </c>
      <c r="I51" s="11"/>
      <c r="J51" s="11"/>
      <c r="K51" s="11">
        <f t="shared" si="4"/>
        <v>1402.48</v>
      </c>
      <c r="N51" s="20">
        <f t="shared" si="5"/>
        <v>36.033366823065975</v>
      </c>
      <c r="P51" s="12">
        <f t="shared" si="14"/>
        <v>1402.4819721616636</v>
      </c>
      <c r="Q51" s="11">
        <f t="shared" si="6"/>
        <v>-17.518027838336366</v>
      </c>
      <c r="R51" s="13">
        <f t="shared" si="7"/>
        <v>-1.2336639322772089E-2</v>
      </c>
      <c r="S51" s="13"/>
      <c r="T51" s="12">
        <f t="shared" si="15"/>
        <v>1402.4819721616636</v>
      </c>
      <c r="U51" s="11">
        <f t="shared" si="16"/>
        <v>1.9721616636161343E-3</v>
      </c>
      <c r="V51" s="13">
        <f t="shared" si="17"/>
        <v>1.4061959269409433E-6</v>
      </c>
      <c r="X51" s="12">
        <f t="shared" si="8"/>
        <v>1530.8438586857039</v>
      </c>
      <c r="Y51" s="12">
        <f t="shared" si="9"/>
        <v>-23.71614131429601</v>
      </c>
      <c r="Z51" s="13">
        <f t="shared" si="10"/>
        <v>-1.5255854591843358E-2</v>
      </c>
      <c r="AB51" s="12">
        <f t="shared" si="11"/>
        <v>1539.0135921516016</v>
      </c>
      <c r="AC51" s="12">
        <f t="shared" si="12"/>
        <v>-15.546407848398303</v>
      </c>
      <c r="AD51" s="13">
        <f t="shared" si="13"/>
        <v>-1.0000519663697962E-2</v>
      </c>
      <c r="AE51" s="12"/>
      <c r="AF51" s="12"/>
    </row>
    <row r="52" spans="1:32" x14ac:dyDescent="0.35">
      <c r="A52" s="25">
        <v>150</v>
      </c>
      <c r="B52" s="17">
        <v>1573.25</v>
      </c>
      <c r="C52" s="26">
        <f t="shared" si="18"/>
        <v>3821.6666666666665</v>
      </c>
      <c r="D52" s="11"/>
      <c r="E52" s="12">
        <f t="shared" si="1"/>
        <v>1573.25</v>
      </c>
      <c r="F52" s="26">
        <f t="shared" si="20"/>
        <v>4586</v>
      </c>
      <c r="G52" s="11"/>
      <c r="H52" s="11">
        <f t="shared" si="19"/>
        <v>1437.5</v>
      </c>
      <c r="I52" s="11"/>
      <c r="J52" s="11"/>
      <c r="K52" s="11">
        <f t="shared" si="4"/>
        <v>1419.25</v>
      </c>
      <c r="N52" s="20">
        <f t="shared" si="5"/>
        <v>36.464233340141973</v>
      </c>
      <c r="P52" s="12">
        <f t="shared" si="14"/>
        <v>1419.2520543350661</v>
      </c>
      <c r="Q52" s="11">
        <f t="shared" si="6"/>
        <v>-18.247945664933923</v>
      </c>
      <c r="R52" s="13">
        <f t="shared" si="7"/>
        <v>-1.269422307125838E-2</v>
      </c>
      <c r="S52" s="13"/>
      <c r="T52" s="12">
        <f t="shared" si="15"/>
        <v>1419.2520543350661</v>
      </c>
      <c r="U52" s="11">
        <f t="shared" si="16"/>
        <v>2.0543350660773285E-3</v>
      </c>
      <c r="V52" s="13">
        <f t="shared" si="17"/>
        <v>1.4474793490063966E-6</v>
      </c>
      <c r="X52" s="12">
        <f t="shared" si="8"/>
        <v>1549.1488193300384</v>
      </c>
      <c r="Y52" s="12">
        <f t="shared" si="9"/>
        <v>-24.10118066996165</v>
      </c>
      <c r="Z52" s="13">
        <f t="shared" si="10"/>
        <v>-1.5319358442689751E-2</v>
      </c>
      <c r="AB52" s="12">
        <f t="shared" si="11"/>
        <v>1557.4162418245849</v>
      </c>
      <c r="AC52" s="12">
        <f t="shared" si="12"/>
        <v>-15.833758175415142</v>
      </c>
      <c r="AD52" s="13">
        <f t="shared" si="13"/>
        <v>-1.0064362418824181E-2</v>
      </c>
      <c r="AE52" s="12"/>
      <c r="AF52" s="12"/>
    </row>
    <row r="53" spans="1:32" x14ac:dyDescent="0.35">
      <c r="A53" s="25">
        <v>155</v>
      </c>
      <c r="B53" s="17">
        <v>1591.91</v>
      </c>
      <c r="C53" s="26">
        <f t="shared" si="18"/>
        <v>3818.7741935483878</v>
      </c>
      <c r="D53" s="11"/>
      <c r="E53" s="12">
        <f t="shared" si="1"/>
        <v>1591.91</v>
      </c>
      <c r="F53" s="26">
        <f t="shared" si="20"/>
        <v>4553.1538461538466</v>
      </c>
      <c r="G53" s="11"/>
      <c r="H53" s="11">
        <f t="shared" si="19"/>
        <v>1455</v>
      </c>
      <c r="I53" s="11"/>
      <c r="J53" s="11"/>
      <c r="K53" s="11">
        <f t="shared" si="4"/>
        <v>1436.02</v>
      </c>
      <c r="N53" s="20">
        <f t="shared" si="5"/>
        <v>36.895099857217978</v>
      </c>
      <c r="P53" s="12">
        <f t="shared" si="14"/>
        <v>1436.0221365084692</v>
      </c>
      <c r="Q53" s="11">
        <f t="shared" si="6"/>
        <v>-18.977863491530798</v>
      </c>
      <c r="R53" s="13">
        <f t="shared" si="7"/>
        <v>-1.3043205148818418E-2</v>
      </c>
      <c r="S53" s="13"/>
      <c r="T53" s="12">
        <f t="shared" si="15"/>
        <v>1436.0221365084692</v>
      </c>
      <c r="U53" s="11">
        <f t="shared" si="16"/>
        <v>2.1365084692206437E-3</v>
      </c>
      <c r="V53" s="13">
        <f t="shared" si="17"/>
        <v>1.4877985468312724E-6</v>
      </c>
      <c r="X53" s="12">
        <f t="shared" si="8"/>
        <v>1567.453779974373</v>
      </c>
      <c r="Y53" s="12">
        <f t="shared" si="9"/>
        <v>-24.45622002562709</v>
      </c>
      <c r="Z53" s="13">
        <f t="shared" si="10"/>
        <v>-1.536281575316889E-2</v>
      </c>
      <c r="AB53" s="12">
        <f t="shared" si="11"/>
        <v>1575.8188914975685</v>
      </c>
      <c r="AC53" s="12">
        <f t="shared" si="12"/>
        <v>-16.091108502431553</v>
      </c>
      <c r="AD53" s="13">
        <f t="shared" si="13"/>
        <v>-1.0108051650175922E-2</v>
      </c>
      <c r="AE53" s="12"/>
      <c r="AF53" s="12"/>
    </row>
  </sheetData>
  <mergeCells count="10">
    <mergeCell ref="A9:C9"/>
    <mergeCell ref="K3:L4"/>
    <mergeCell ref="E3:F3"/>
    <mergeCell ref="B3:C3"/>
    <mergeCell ref="H3:I3"/>
    <mergeCell ref="P9:R9"/>
    <mergeCell ref="T9:V9"/>
    <mergeCell ref="X9:Z9"/>
    <mergeCell ref="AB9:AD9"/>
    <mergeCell ref="E9:F9"/>
  </mergeCells>
  <hyperlinks>
    <hyperlink ref="E6" r:id="rId1" xr:uid="{00000000-0004-0000-0000-000000000000}"/>
    <hyperlink ref="N6" r:id="rId2" xr:uid="{00000000-0004-0000-0000-000001000000}"/>
  </hyperlinks>
  <pageMargins left="0.7" right="0.7" top="0.75" bottom="0.75" header="0.3" footer="0.3"/>
  <pageSetup paperSize="9" orientation="portrait" r:id="rId3"/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F6760-F5F5-42D3-99FF-50622725FB45}">
  <dimension ref="A1:A5"/>
  <sheetViews>
    <sheetView workbookViewId="0">
      <selection activeCell="F5" sqref="F5"/>
    </sheetView>
  </sheetViews>
  <sheetFormatPr defaultRowHeight="12.75" x14ac:dyDescent="0.35"/>
  <sheetData>
    <row r="1" spans="1:1" ht="13.15" x14ac:dyDescent="0.4">
      <c r="A1" s="58" t="s">
        <v>63</v>
      </c>
    </row>
    <row r="2" spans="1:1" x14ac:dyDescent="0.35">
      <c r="A2" t="s">
        <v>64</v>
      </c>
    </row>
    <row r="3" spans="1:1" x14ac:dyDescent="0.35">
      <c r="A3" t="s">
        <v>66</v>
      </c>
    </row>
    <row r="5" spans="1:1" ht="13.15" x14ac:dyDescent="0.35">
      <c r="A5" s="16" t="s">
        <v>65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ACB9C-4525-4016-8BEB-1B24062DA3CF}">
  <dimension ref="A1:E23"/>
  <sheetViews>
    <sheetView workbookViewId="0">
      <selection activeCell="A27" sqref="A27"/>
    </sheetView>
  </sheetViews>
  <sheetFormatPr defaultRowHeight="12.75" x14ac:dyDescent="0.35"/>
  <cols>
    <col min="1" max="1" width="10.53125" style="94" customWidth="1"/>
    <col min="2" max="2" width="6.73046875" style="94" customWidth="1"/>
    <col min="3" max="3" width="18" style="94" customWidth="1"/>
    <col min="4" max="4" width="21.46484375" style="94" customWidth="1"/>
    <col min="5" max="5" width="51" style="94" customWidth="1"/>
    <col min="6" max="16384" width="9.06640625" style="94"/>
  </cols>
  <sheetData>
    <row r="1" spans="1:5" ht="13.15" x14ac:dyDescent="0.35">
      <c r="A1" s="93" t="s">
        <v>110</v>
      </c>
    </row>
    <row r="4" spans="1:5" ht="13.15" x14ac:dyDescent="0.35">
      <c r="A4" s="95" t="s">
        <v>111</v>
      </c>
      <c r="B4" s="95"/>
      <c r="C4" s="95"/>
      <c r="D4" s="95"/>
      <c r="E4" s="95"/>
    </row>
    <row r="5" spans="1:5" x14ac:dyDescent="0.35">
      <c r="A5" s="96" t="s">
        <v>112</v>
      </c>
      <c r="B5" s="97">
        <v>1</v>
      </c>
      <c r="C5" s="97" t="s">
        <v>113</v>
      </c>
      <c r="D5" s="97" t="s">
        <v>114</v>
      </c>
      <c r="E5" s="96" t="s">
        <v>115</v>
      </c>
    </row>
    <row r="6" spans="1:5" x14ac:dyDescent="0.35">
      <c r="A6" s="96" t="s">
        <v>116</v>
      </c>
      <c r="B6" s="97">
        <v>1</v>
      </c>
      <c r="C6" s="97" t="s">
        <v>113</v>
      </c>
      <c r="D6" s="97" t="s">
        <v>117</v>
      </c>
      <c r="E6" s="96" t="s">
        <v>118</v>
      </c>
    </row>
    <row r="7" spans="1:5" x14ac:dyDescent="0.35">
      <c r="A7" s="96" t="s">
        <v>119</v>
      </c>
      <c r="B7" s="97">
        <v>1</v>
      </c>
      <c r="C7" s="97" t="s">
        <v>120</v>
      </c>
      <c r="D7" s="97" t="s">
        <v>121</v>
      </c>
      <c r="E7" s="96" t="s">
        <v>122</v>
      </c>
    </row>
    <row r="8" spans="1:5" x14ac:dyDescent="0.35">
      <c r="A8" s="96" t="s">
        <v>123</v>
      </c>
      <c r="B8" s="97">
        <v>1</v>
      </c>
      <c r="C8" s="97" t="s">
        <v>124</v>
      </c>
      <c r="D8" s="97" t="s">
        <v>125</v>
      </c>
      <c r="E8" s="96" t="s">
        <v>126</v>
      </c>
    </row>
    <row r="9" spans="1:5" x14ac:dyDescent="0.35">
      <c r="A9" s="96" t="s">
        <v>127</v>
      </c>
      <c r="B9" s="97">
        <v>2</v>
      </c>
      <c r="C9" s="98" t="s">
        <v>128</v>
      </c>
      <c r="D9" s="99" t="s">
        <v>129</v>
      </c>
      <c r="E9" s="96" t="s">
        <v>130</v>
      </c>
    </row>
    <row r="10" spans="1:5" x14ac:dyDescent="0.35">
      <c r="A10" s="96" t="s">
        <v>131</v>
      </c>
      <c r="B10" s="97">
        <v>2</v>
      </c>
      <c r="C10" s="97" t="s">
        <v>132</v>
      </c>
      <c r="D10" s="99" t="s">
        <v>133</v>
      </c>
      <c r="E10" s="96" t="s">
        <v>134</v>
      </c>
    </row>
    <row r="11" spans="1:5" x14ac:dyDescent="0.35">
      <c r="A11" s="96" t="s">
        <v>135</v>
      </c>
      <c r="B11" s="97">
        <v>2</v>
      </c>
      <c r="C11" s="97" t="s">
        <v>136</v>
      </c>
      <c r="D11" s="97" t="s">
        <v>137</v>
      </c>
      <c r="E11" s="96" t="s">
        <v>138</v>
      </c>
    </row>
    <row r="12" spans="1:5" x14ac:dyDescent="0.35">
      <c r="A12" s="96" t="s">
        <v>139</v>
      </c>
      <c r="B12" s="97">
        <v>1</v>
      </c>
      <c r="C12" s="97" t="s">
        <v>120</v>
      </c>
      <c r="D12" s="97" t="s">
        <v>140</v>
      </c>
      <c r="E12" s="96" t="s">
        <v>141</v>
      </c>
    </row>
    <row r="13" spans="1:5" x14ac:dyDescent="0.35">
      <c r="A13" s="96" t="s">
        <v>139</v>
      </c>
      <c r="B13" s="97">
        <v>2</v>
      </c>
      <c r="C13" s="97" t="s">
        <v>142</v>
      </c>
      <c r="D13" s="97" t="s">
        <v>143</v>
      </c>
      <c r="E13" s="96" t="s">
        <v>144</v>
      </c>
    </row>
    <row r="14" spans="1:5" x14ac:dyDescent="0.35">
      <c r="A14" s="100"/>
      <c r="B14" s="100"/>
      <c r="C14" s="100"/>
      <c r="D14" s="100"/>
      <c r="E14" s="100"/>
    </row>
    <row r="15" spans="1:5" ht="13.15" x14ac:dyDescent="0.35">
      <c r="A15" s="101" t="s">
        <v>145</v>
      </c>
      <c r="B15" s="101"/>
      <c r="C15" s="101"/>
      <c r="D15" s="101"/>
      <c r="E15" s="101"/>
    </row>
    <row r="16" spans="1:5" x14ac:dyDescent="0.35">
      <c r="A16" s="96" t="s">
        <v>119</v>
      </c>
      <c r="B16" s="97">
        <v>1</v>
      </c>
      <c r="C16" s="97" t="s">
        <v>120</v>
      </c>
      <c r="D16" s="97" t="s">
        <v>121</v>
      </c>
      <c r="E16" s="96" t="s">
        <v>122</v>
      </c>
    </row>
    <row r="17" spans="1:5" x14ac:dyDescent="0.35">
      <c r="A17" s="96" t="s">
        <v>123</v>
      </c>
      <c r="B17" s="97">
        <v>1</v>
      </c>
      <c r="C17" s="97" t="s">
        <v>124</v>
      </c>
      <c r="D17" s="97" t="s">
        <v>125</v>
      </c>
      <c r="E17" s="96" t="s">
        <v>126</v>
      </c>
    </row>
    <row r="18" spans="1:5" x14ac:dyDescent="0.35">
      <c r="A18" s="96" t="s">
        <v>127</v>
      </c>
      <c r="B18" s="97">
        <v>2</v>
      </c>
      <c r="C18" s="98" t="s">
        <v>128</v>
      </c>
      <c r="D18" s="99" t="s">
        <v>129</v>
      </c>
      <c r="E18" s="96" t="s">
        <v>130</v>
      </c>
    </row>
    <row r="19" spans="1:5" x14ac:dyDescent="0.35">
      <c r="A19" s="96" t="s">
        <v>131</v>
      </c>
      <c r="B19" s="97">
        <v>0</v>
      </c>
      <c r="C19" s="99" t="s">
        <v>146</v>
      </c>
      <c r="D19" s="99" t="s">
        <v>146</v>
      </c>
      <c r="E19" s="96" t="s">
        <v>147</v>
      </c>
    </row>
    <row r="20" spans="1:5" x14ac:dyDescent="0.35">
      <c r="A20" s="96" t="s">
        <v>135</v>
      </c>
      <c r="B20" s="97">
        <v>2</v>
      </c>
      <c r="C20" s="97" t="s">
        <v>136</v>
      </c>
      <c r="D20" s="97" t="s">
        <v>137</v>
      </c>
      <c r="E20" s="96" t="s">
        <v>138</v>
      </c>
    </row>
    <row r="21" spans="1:5" x14ac:dyDescent="0.35">
      <c r="A21" s="96" t="s">
        <v>139</v>
      </c>
      <c r="B21" s="97">
        <v>1</v>
      </c>
      <c r="C21" s="97" t="s">
        <v>120</v>
      </c>
      <c r="D21" s="97" t="s">
        <v>140</v>
      </c>
      <c r="E21" s="96" t="s">
        <v>141</v>
      </c>
    </row>
    <row r="22" spans="1:5" x14ac:dyDescent="0.35">
      <c r="A22" s="96" t="s">
        <v>139</v>
      </c>
      <c r="B22" s="97">
        <v>2</v>
      </c>
      <c r="C22" s="97" t="s">
        <v>142</v>
      </c>
      <c r="D22" s="97" t="s">
        <v>143</v>
      </c>
      <c r="E22" s="96" t="s">
        <v>144</v>
      </c>
    </row>
    <row r="23" spans="1:5" x14ac:dyDescent="0.35">
      <c r="A23" s="96" t="s">
        <v>139</v>
      </c>
      <c r="B23" s="97">
        <v>2</v>
      </c>
      <c r="C23" s="97" t="s">
        <v>142</v>
      </c>
      <c r="D23" s="97" t="s">
        <v>148</v>
      </c>
      <c r="E23" s="96" t="s">
        <v>149</v>
      </c>
    </row>
  </sheetData>
  <mergeCells count="3">
    <mergeCell ref="A4:E4"/>
    <mergeCell ref="A14:E14"/>
    <mergeCell ref="A15:E15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E4F9F-D258-41F0-BD2D-0AA55898DCC7}">
  <dimension ref="A1:I20"/>
  <sheetViews>
    <sheetView workbookViewId="0">
      <selection activeCell="A17" sqref="A17"/>
    </sheetView>
  </sheetViews>
  <sheetFormatPr defaultRowHeight="12.75" x14ac:dyDescent="0.35"/>
  <cols>
    <col min="1" max="1" width="24.19921875" style="57" customWidth="1"/>
    <col min="2" max="2" width="7.3984375" style="56" customWidth="1"/>
    <col min="3" max="3" width="10.265625" style="56" customWidth="1"/>
    <col min="4" max="4" width="7.53125" style="56" customWidth="1"/>
    <col min="5" max="5" width="10.265625" style="56" customWidth="1"/>
    <col min="6" max="6" width="7.53125" style="56" customWidth="1"/>
    <col min="7" max="7" width="13.46484375" style="56" customWidth="1"/>
    <col min="8" max="8" width="9.46484375" style="56" customWidth="1"/>
    <col min="9" max="9" width="36.1328125" style="57" customWidth="1"/>
    <col min="10" max="16384" width="9.06640625" style="57"/>
  </cols>
  <sheetData>
    <row r="1" spans="1:9" ht="13.9" x14ac:dyDescent="0.35">
      <c r="A1" s="55" t="s">
        <v>86</v>
      </c>
      <c r="B1" s="60"/>
    </row>
    <row r="4" spans="1:9" ht="41.25" x14ac:dyDescent="0.35">
      <c r="A4" s="69" t="s">
        <v>85</v>
      </c>
      <c r="B4" s="67" t="s">
        <v>69</v>
      </c>
      <c r="C4" s="67" t="s">
        <v>81</v>
      </c>
      <c r="D4" s="67" t="s">
        <v>79</v>
      </c>
      <c r="E4" s="67" t="s">
        <v>82</v>
      </c>
      <c r="F4" s="67" t="s">
        <v>80</v>
      </c>
      <c r="G4" s="67" t="s">
        <v>83</v>
      </c>
      <c r="H4" s="67" t="s">
        <v>58</v>
      </c>
      <c r="I4" s="69" t="s">
        <v>74</v>
      </c>
    </row>
    <row r="5" spans="1:9" x14ac:dyDescent="0.35">
      <c r="A5" s="61" t="s">
        <v>68</v>
      </c>
      <c r="B5" s="62" t="s">
        <v>70</v>
      </c>
      <c r="C5" s="62">
        <v>519.5</v>
      </c>
      <c r="D5" s="62">
        <v>16</v>
      </c>
      <c r="E5" s="62">
        <v>513.70000000000005</v>
      </c>
      <c r="F5" s="63">
        <v>50</v>
      </c>
      <c r="G5" s="64">
        <f>E5-C5</f>
        <v>-5.7999999999999545</v>
      </c>
      <c r="H5" s="65">
        <f>G5/C5</f>
        <v>-1.1164581328200106E-2</v>
      </c>
      <c r="I5" s="86" t="s">
        <v>62</v>
      </c>
    </row>
    <row r="6" spans="1:9" x14ac:dyDescent="0.35">
      <c r="A6" s="61" t="s">
        <v>68</v>
      </c>
      <c r="B6" s="62" t="s">
        <v>72</v>
      </c>
      <c r="C6" s="62">
        <v>440</v>
      </c>
      <c r="D6" s="62">
        <v>16</v>
      </c>
      <c r="E6" s="62">
        <v>434.3</v>
      </c>
      <c r="F6" s="63">
        <v>50</v>
      </c>
      <c r="G6" s="64">
        <f>E6-C6</f>
        <v>-5.6999999999999886</v>
      </c>
      <c r="H6" s="65">
        <f>G6/C6</f>
        <v>-1.2954545454545429E-2</v>
      </c>
      <c r="I6" s="87"/>
    </row>
    <row r="7" spans="1:9" x14ac:dyDescent="0.35">
      <c r="A7" s="61" t="s">
        <v>68</v>
      </c>
      <c r="B7" s="62" t="s">
        <v>73</v>
      </c>
      <c r="C7" s="62">
        <v>440</v>
      </c>
      <c r="D7" s="62">
        <v>16</v>
      </c>
      <c r="E7" s="62">
        <v>435.5</v>
      </c>
      <c r="F7" s="63">
        <v>50</v>
      </c>
      <c r="G7" s="64">
        <f>E7-C7</f>
        <v>-4.5</v>
      </c>
      <c r="H7" s="65">
        <f>G7/C7</f>
        <v>-1.0227272727272727E-2</v>
      </c>
      <c r="I7" s="88"/>
    </row>
    <row r="8" spans="1:9" ht="25.5" x14ac:dyDescent="0.35">
      <c r="A8" s="61" t="s">
        <v>59</v>
      </c>
      <c r="B8" s="62" t="s">
        <v>71</v>
      </c>
      <c r="C8" s="64">
        <v>492.6</v>
      </c>
      <c r="D8" s="62">
        <v>16</v>
      </c>
      <c r="E8" s="64">
        <v>497</v>
      </c>
      <c r="F8" s="63">
        <v>50</v>
      </c>
      <c r="G8" s="64">
        <f>E8-C8</f>
        <v>4.3999999999999773</v>
      </c>
      <c r="H8" s="65">
        <f>G8/C8</f>
        <v>8.9321965083231369E-3</v>
      </c>
      <c r="I8" s="66" t="s">
        <v>67</v>
      </c>
    </row>
    <row r="9" spans="1:9" ht="38.25" x14ac:dyDescent="0.35">
      <c r="A9" s="61" t="s">
        <v>60</v>
      </c>
      <c r="B9" s="62" t="s">
        <v>71</v>
      </c>
      <c r="C9" s="64">
        <v>511.9</v>
      </c>
      <c r="D9" s="62">
        <v>16</v>
      </c>
      <c r="E9" s="64">
        <v>520.29999999999995</v>
      </c>
      <c r="F9" s="63">
        <v>50</v>
      </c>
      <c r="G9" s="64">
        <f t="shared" ref="G9" si="0">E9-C9</f>
        <v>8.3999999999999773</v>
      </c>
      <c r="H9" s="65">
        <f>G9/C9</f>
        <v>1.6409454971674113E-2</v>
      </c>
      <c r="I9" s="66" t="s">
        <v>61</v>
      </c>
    </row>
    <row r="10" spans="1:9" ht="23.75" customHeight="1" x14ac:dyDescent="0.35">
      <c r="A10" s="89" t="s">
        <v>78</v>
      </c>
      <c r="B10" s="90"/>
      <c r="C10" s="90"/>
      <c r="D10" s="90"/>
      <c r="E10" s="90"/>
      <c r="F10" s="90"/>
      <c r="G10" s="90"/>
      <c r="H10" s="90"/>
      <c r="I10" s="91"/>
    </row>
    <row r="11" spans="1:9" ht="41.25" x14ac:dyDescent="0.35">
      <c r="A11" s="70" t="s">
        <v>54</v>
      </c>
      <c r="B11" s="68" t="s">
        <v>69</v>
      </c>
      <c r="C11" s="68" t="s">
        <v>55</v>
      </c>
      <c r="D11" s="68" t="s">
        <v>79</v>
      </c>
      <c r="E11" s="68" t="s">
        <v>56</v>
      </c>
      <c r="F11" s="68" t="s">
        <v>80</v>
      </c>
      <c r="G11" s="68" t="s">
        <v>57</v>
      </c>
      <c r="H11" s="68" t="s">
        <v>58</v>
      </c>
      <c r="I11" s="70" t="s">
        <v>74</v>
      </c>
    </row>
    <row r="12" spans="1:9" x14ac:dyDescent="0.35">
      <c r="A12" s="61" t="s">
        <v>75</v>
      </c>
      <c r="B12" s="62" t="s">
        <v>70</v>
      </c>
      <c r="C12" s="62">
        <v>438.7</v>
      </c>
      <c r="D12" s="62">
        <v>19</v>
      </c>
      <c r="E12" s="62">
        <v>435.7</v>
      </c>
      <c r="F12" s="63">
        <v>50</v>
      </c>
      <c r="G12" s="64">
        <f>E12-C12</f>
        <v>-3</v>
      </c>
      <c r="H12" s="65">
        <f>G12/C12</f>
        <v>-6.8383861408707544E-3</v>
      </c>
      <c r="I12" s="66" t="s">
        <v>77</v>
      </c>
    </row>
    <row r="13" spans="1:9" x14ac:dyDescent="0.35">
      <c r="A13" s="61" t="s">
        <v>84</v>
      </c>
      <c r="B13" s="62" t="s">
        <v>71</v>
      </c>
      <c r="C13" s="62">
        <v>439.1</v>
      </c>
      <c r="D13" s="62">
        <v>19</v>
      </c>
      <c r="E13" s="62">
        <v>441.9</v>
      </c>
      <c r="F13" s="63">
        <v>50</v>
      </c>
      <c r="G13" s="64">
        <f>E13-C13</f>
        <v>2.7999999999999545</v>
      </c>
      <c r="H13" s="65">
        <f>G13/C13</f>
        <v>6.3766795718514105E-3</v>
      </c>
      <c r="I13" s="66" t="s">
        <v>76</v>
      </c>
    </row>
    <row r="14" spans="1:9" x14ac:dyDescent="0.35">
      <c r="F14" s="59"/>
    </row>
    <row r="15" spans="1:9" x14ac:dyDescent="0.35">
      <c r="F15" s="59"/>
    </row>
    <row r="16" spans="1:9" x14ac:dyDescent="0.35">
      <c r="F16" s="59"/>
    </row>
    <row r="17" spans="6:6" x14ac:dyDescent="0.35">
      <c r="F17" s="59"/>
    </row>
    <row r="18" spans="6:6" x14ac:dyDescent="0.35">
      <c r="F18" s="59"/>
    </row>
    <row r="19" spans="6:6" x14ac:dyDescent="0.35">
      <c r="F19" s="59"/>
    </row>
    <row r="20" spans="6:6" x14ac:dyDescent="0.35">
      <c r="F20" s="59"/>
    </row>
  </sheetData>
  <mergeCells count="2">
    <mergeCell ref="I5:I7"/>
    <mergeCell ref="A10:I10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FF123-EC30-445D-9ABF-272983628197}">
  <dimension ref="A1:D34"/>
  <sheetViews>
    <sheetView workbookViewId="0">
      <selection activeCell="B4" sqref="B4"/>
    </sheetView>
  </sheetViews>
  <sheetFormatPr defaultRowHeight="12.75" x14ac:dyDescent="0.35"/>
  <cols>
    <col min="1" max="3" width="11.59765625" style="72" customWidth="1"/>
    <col min="4" max="4" width="12" style="73" customWidth="1"/>
    <col min="5" max="16384" width="9.06640625" style="73"/>
  </cols>
  <sheetData>
    <row r="1" spans="1:4" ht="13.15" x14ac:dyDescent="0.35">
      <c r="A1" s="71" t="s">
        <v>87</v>
      </c>
    </row>
    <row r="3" spans="1:4" x14ac:dyDescent="0.35">
      <c r="A3" s="74" t="s">
        <v>88</v>
      </c>
    </row>
    <row r="6" spans="1:4" ht="39.4" x14ac:dyDescent="0.35">
      <c r="A6" s="92" t="s">
        <v>89</v>
      </c>
      <c r="B6" s="92"/>
      <c r="C6" s="92"/>
      <c r="D6" s="75" t="s">
        <v>90</v>
      </c>
    </row>
    <row r="7" spans="1:4" x14ac:dyDescent="0.35">
      <c r="A7" s="76" t="s">
        <v>91</v>
      </c>
      <c r="B7" s="76"/>
      <c r="C7" s="76"/>
      <c r="D7" s="77">
        <v>32.700000000000003</v>
      </c>
    </row>
    <row r="8" spans="1:4" x14ac:dyDescent="0.35">
      <c r="A8" s="76" t="s">
        <v>92</v>
      </c>
      <c r="B8" s="76" t="s">
        <v>93</v>
      </c>
      <c r="C8" s="76"/>
      <c r="D8" s="77">
        <v>65.41</v>
      </c>
    </row>
    <row r="9" spans="1:4" x14ac:dyDescent="0.35">
      <c r="A9" s="76" t="s">
        <v>94</v>
      </c>
      <c r="B9" s="76" t="s">
        <v>95</v>
      </c>
      <c r="C9" s="76" t="s">
        <v>96</v>
      </c>
      <c r="D9" s="77">
        <v>130.81</v>
      </c>
    </row>
    <row r="10" spans="1:4" x14ac:dyDescent="0.35">
      <c r="A10" s="76" t="s">
        <v>97</v>
      </c>
      <c r="B10" s="76" t="s">
        <v>98</v>
      </c>
      <c r="C10" s="76" t="s">
        <v>99</v>
      </c>
      <c r="D10" s="77">
        <v>261.63</v>
      </c>
    </row>
    <row r="11" spans="1:4" x14ac:dyDescent="0.35">
      <c r="A11" s="76" t="s">
        <v>100</v>
      </c>
      <c r="B11" s="76" t="s">
        <v>101</v>
      </c>
      <c r="C11" s="76" t="s">
        <v>102</v>
      </c>
      <c r="D11" s="77">
        <v>523.25</v>
      </c>
    </row>
    <row r="12" spans="1:4" x14ac:dyDescent="0.35">
      <c r="A12" s="76" t="s">
        <v>103</v>
      </c>
      <c r="B12" s="76" t="s">
        <v>104</v>
      </c>
      <c r="C12" s="76" t="s">
        <v>105</v>
      </c>
      <c r="D12" s="77">
        <v>1046.5</v>
      </c>
    </row>
    <row r="13" spans="1:4" x14ac:dyDescent="0.35">
      <c r="A13" s="76"/>
      <c r="B13" s="76" t="s">
        <v>106</v>
      </c>
      <c r="C13" s="76" t="s">
        <v>107</v>
      </c>
      <c r="D13" s="77">
        <v>2093</v>
      </c>
    </row>
    <row r="14" spans="1:4" x14ac:dyDescent="0.35">
      <c r="A14" s="76"/>
      <c r="B14" s="76"/>
      <c r="C14" s="76" t="s">
        <v>108</v>
      </c>
      <c r="D14" s="77">
        <v>4186.01</v>
      </c>
    </row>
    <row r="34" spans="1:1" ht="14.25" x14ac:dyDescent="0.35">
      <c r="A34" s="78" t="s">
        <v>109</v>
      </c>
    </row>
  </sheetData>
  <mergeCells count="1">
    <mergeCell ref="A6:C6"/>
  </mergeCells>
  <hyperlinks>
    <hyperlink ref="A34" r:id="rId1" xr:uid="{F9BC9298-A328-454F-B85C-74FDB849C8AE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PTS Resistor Substitution</vt:lpstr>
      <vt:lpstr>MAT14 Adjustments</vt:lpstr>
      <vt:lpstr>PartsList</vt:lpstr>
      <vt:lpstr>ExpoTests</vt:lpstr>
      <vt:lpstr>TuningFrequencies</vt:lpstr>
    </vt:vector>
  </TitlesOfParts>
  <Company>Super Synth Projects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Expo Converter Replacement</dc:title>
  <dc:subject>Oberheim OB-X</dc:subject>
  <dc:creator>Wilkinson, Guy (UK)</dc:creator>
  <dc:description>(c) Super Synth Projects</dc:description>
  <cp:lastModifiedBy>Guy Wilkinson</cp:lastModifiedBy>
  <cp:lastPrinted>2025-07-26T20:05:11Z</cp:lastPrinted>
  <dcterms:created xsi:type="dcterms:W3CDTF">2024-05-29T11:17:27Z</dcterms:created>
  <dcterms:modified xsi:type="dcterms:W3CDTF">2025-07-26T20:06:54Z</dcterms:modified>
</cp:coreProperties>
</file>